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unflowergroupde-my.sharepoint.com/personal/eva_wohlmann_pro-salina_de/Documents/Hol Com/Akquise/IT Bereich/"/>
    </mc:Choice>
  </mc:AlternateContent>
  <xr:revisionPtr revIDLastSave="0" documentId="8_{4AF61884-6C6C-4291-A006-8883C10FBABA}" xr6:coauthVersionLast="47" xr6:coauthVersionMax="47" xr10:uidLastSave="{00000000-0000-0000-0000-000000000000}"/>
  <bookViews>
    <workbookView xWindow="780" yWindow="1125" windowWidth="26745" windowHeight="13800" tabRatio="500" xr2:uid="{00000000-000D-0000-FFFF-FFFF00000000}"/>
  </bookViews>
  <sheets>
    <sheet name="Translator" sheetId="1" r:id="rId1"/>
    <sheet name="Jargon-Checker" sheetId="2" r:id="rId2"/>
    <sheet name="Praxis Beispiele" sheetId="5" r:id="rId3"/>
    <sheet name="Quick-Check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4" l="1"/>
  <c r="A19" i="4" s="1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D9" i="1"/>
  <c r="E9" i="1" s="1"/>
  <c r="D8" i="1"/>
  <c r="E8" i="1" s="1"/>
  <c r="D7" i="1"/>
  <c r="E7" i="1" s="1"/>
  <c r="D6" i="1"/>
  <c r="C23" i="1" l="1"/>
  <c r="B24" i="2"/>
  <c r="C24" i="2" s="1"/>
  <c r="E6" i="1"/>
  <c r="C24" i="1"/>
  <c r="B18" i="4"/>
  <c r="C22" i="1"/>
</calcChain>
</file>

<file path=xl/sharedStrings.xml><?xml version="1.0" encoding="utf-8"?>
<sst xmlns="http://schemas.openxmlformats.org/spreadsheetml/2006/main" count="470" uniqueCount="420">
  <si>
    <t>Feature (technisch)</t>
  </si>
  <si>
    <t>Benefit (Was macht es?)</t>
  </si>
  <si>
    <t>Impact (Warum wichtig?)</t>
  </si>
  <si>
    <t>Qualitäts-Score</t>
  </si>
  <si>
    <t>Empfehlung</t>
  </si>
  <si>
    <t>AES-256 Verschlüsselung</t>
  </si>
  <si>
    <t>Daten werden automatisch verschlüsselt</t>
  </si>
  <si>
    <t>Im Ernstfall sind Kundendaten rechtssicher geschützt</t>
  </si>
  <si>
    <t>REST API mit OAuth 2.0</t>
  </si>
  <si>
    <t>Anbindung an andere Systeme möglich</t>
  </si>
  <si>
    <t>Keine manuelle Dateneingabe mehr nötig - spart 5h/Woche</t>
  </si>
  <si>
    <t>Skalierbare Cloud-Infrastruktur</t>
  </si>
  <si>
    <t>Wächst automatisch mit Ihren Anforderungen</t>
  </si>
  <si>
    <t>Keine Server-Ausfälle bei Traffic-Spitzen</t>
  </si>
  <si>
    <t>ZUSAMMENFASSUNG:</t>
  </si>
  <si>
    <t>🟢 Gut (einsatzbereit):</t>
  </si>
  <si>
    <t>🟡 OK (optimierbar):</t>
  </si>
  <si>
    <t>🔴 Verbessern (dringend überarbeiten):</t>
  </si>
  <si>
    <t>JARGON-CHECKER</t>
  </si>
  <si>
    <t>Fügen Sie Ihren Text hier ein:</t>
  </si>
  <si>
    <t>Begriff</t>
  </si>
  <si>
    <t>Kundenfreundliche Alternative</t>
  </si>
  <si>
    <t>Kick-off</t>
  </si>
  <si>
    <t>Starttermin / erstes Treffen</t>
  </si>
  <si>
    <t>Milestone</t>
  </si>
  <si>
    <t>Meilenstein / Zwischenziel</t>
  </si>
  <si>
    <t>Scope</t>
  </si>
  <si>
    <t>Umfang / was gemacht wird</t>
  </si>
  <si>
    <t>Change Request</t>
  </si>
  <si>
    <t>Änderungswunsch</t>
  </si>
  <si>
    <t>Deadline</t>
  </si>
  <si>
    <t>Fertigstellungstermin / Abgabetermin</t>
  </si>
  <si>
    <t>Deliverable</t>
  </si>
  <si>
    <t>Liefergegenstand / was Sie bekommen</t>
  </si>
  <si>
    <t>Rollout</t>
  </si>
  <si>
    <t>Einführung / Start</t>
  </si>
  <si>
    <t>Go-Live</t>
  </si>
  <si>
    <t>Produktivstart / ab jetzt läuft es</t>
  </si>
  <si>
    <t>Sprint</t>
  </si>
  <si>
    <t>Arbeitsphase (meist 2 Wochen)</t>
  </si>
  <si>
    <t>Backlog</t>
  </si>
  <si>
    <t>Liste offener Aufgaben</t>
  </si>
  <si>
    <t>Stakeholder</t>
  </si>
  <si>
    <t>Beteiligte / Entscheider</t>
  </si>
  <si>
    <t>Meeting</t>
  </si>
  <si>
    <t>Besprechung / Termin</t>
  </si>
  <si>
    <t>Call</t>
  </si>
  <si>
    <t>Telefonat / Video-Besprechung</t>
  </si>
  <si>
    <t>Follow-up</t>
  </si>
  <si>
    <t>Nachfassen / Folgetermin</t>
  </si>
  <si>
    <t>Roadmap</t>
  </si>
  <si>
    <t>Zeitplan / Plan für die nächsten Monate</t>
  </si>
  <si>
    <t>Ticket</t>
  </si>
  <si>
    <t>Anfrage / Auftrag</t>
  </si>
  <si>
    <t>Issue</t>
  </si>
  <si>
    <t>Problem / offener Punkt</t>
  </si>
  <si>
    <t>Task</t>
  </si>
  <si>
    <t>Aufgabe</t>
  </si>
  <si>
    <t>Requirement</t>
  </si>
  <si>
    <t>Anforderung / was gebraucht wird</t>
  </si>
  <si>
    <t>Specification</t>
  </si>
  <si>
    <t>genaue Beschreibung / Anforderungsdokument</t>
  </si>
  <si>
    <t>Workshop</t>
  </si>
  <si>
    <t>Arbeitstreffen</t>
  </si>
  <si>
    <t>Feedback-Loop</t>
  </si>
  <si>
    <t>Rückmeldungsrunde</t>
  </si>
  <si>
    <t>Review</t>
  </si>
  <si>
    <t>Überprüfung / Besprechung</t>
  </si>
  <si>
    <t>Sign-off</t>
  </si>
  <si>
    <t>Freigabe / Genehmigung</t>
  </si>
  <si>
    <t>Bugfix</t>
  </si>
  <si>
    <t>Fehlerkorrektur / Fehlerbehebung</t>
  </si>
  <si>
    <t>Bug</t>
  </si>
  <si>
    <t>Fehler / Problem</t>
  </si>
  <si>
    <t>Patch</t>
  </si>
  <si>
    <t>Korrektur-Update / Fehlerbehebung</t>
  </si>
  <si>
    <t>Release</t>
  </si>
  <si>
    <t>neue Version / Update</t>
  </si>
  <si>
    <t>Update</t>
  </si>
  <si>
    <t>Aktualisierung</t>
  </si>
  <si>
    <t>Upgrade</t>
  </si>
  <si>
    <t>größere Aktualisierung / neue Version</t>
  </si>
  <si>
    <t>Hotfix</t>
  </si>
  <si>
    <t>schnelle Fehlerkorrektur</t>
  </si>
  <si>
    <t>Feature</t>
  </si>
  <si>
    <t>Funktion / Möglichkeit</t>
  </si>
  <si>
    <t>Enhancement</t>
  </si>
  <si>
    <t>Verbesserung / Erweiterung</t>
  </si>
  <si>
    <t>Customizing</t>
  </si>
  <si>
    <t>individuelle Anpassung</t>
  </si>
  <si>
    <t>Plugin</t>
  </si>
  <si>
    <t>Erweiterung / Zusatzmodul</t>
  </si>
  <si>
    <t>Add-on</t>
  </si>
  <si>
    <t>Zusatzfunktion</t>
  </si>
  <si>
    <t>Extension</t>
  </si>
  <si>
    <t>Erweiterung</t>
  </si>
  <si>
    <t>Template</t>
  </si>
  <si>
    <t>Vorlage / Muster</t>
  </si>
  <si>
    <t>Module</t>
  </si>
  <si>
    <t>Baustein / Komponente</t>
  </si>
  <si>
    <t>Server</t>
  </si>
  <si>
    <t>zentraler Rechner (wenn nötig: "wo Ihre Daten liegen")</t>
  </si>
  <si>
    <t>Cloud</t>
  </si>
  <si>
    <t>Online-Speicher / Internet-basiert</t>
  </si>
  <si>
    <t>On-Premise</t>
  </si>
  <si>
    <t>bei Ihnen vor Ort / auf Ihren Servern</t>
  </si>
  <si>
    <t>Hybrid</t>
  </si>
  <si>
    <t>gemischt / teils Cloud, teils vor Ort</t>
  </si>
  <si>
    <t>Backend</t>
  </si>
  <si>
    <t>System im Hintergrund</t>
  </si>
  <si>
    <t>Frontend</t>
  </si>
  <si>
    <t>Benutzeroberfläche / was Sie sehen</t>
  </si>
  <si>
    <t>Interface</t>
  </si>
  <si>
    <t>Schnittstelle / Verbindung</t>
  </si>
  <si>
    <t>API</t>
  </si>
  <si>
    <t>Schnittstelle zu anderen Systemen</t>
  </si>
  <si>
    <t>Integration</t>
  </si>
  <si>
    <t>Anbindung / Verbindung</t>
  </si>
  <si>
    <t>Migration</t>
  </si>
  <si>
    <t>Umzug / Übertragung von Daten</t>
  </si>
  <si>
    <t>Import</t>
  </si>
  <si>
    <t>Daten einlesen / hochladen</t>
  </si>
  <si>
    <t>Export</t>
  </si>
  <si>
    <t>Daten herunterladen / exportieren</t>
  </si>
  <si>
    <t>Sync</t>
  </si>
  <si>
    <t>Abgleich / Synchronisation</t>
  </si>
  <si>
    <t>Backup</t>
  </si>
  <si>
    <t>Sicherungskopie</t>
  </si>
  <si>
    <t>Recovery</t>
  </si>
  <si>
    <t>Wiederherstellung</t>
  </si>
  <si>
    <t>Downtime</t>
  </si>
  <si>
    <t>Ausfallzeit / nicht verfügbar</t>
  </si>
  <si>
    <t>Uptime</t>
  </si>
  <si>
    <t>Verfügbarkeit / Betriebszeit</t>
  </si>
  <si>
    <t>Performance</t>
  </si>
  <si>
    <t>Geschwindigkeit / Leistung</t>
  </si>
  <si>
    <t>Latency</t>
  </si>
  <si>
    <t>Verzögerung / Wartezeit</t>
  </si>
  <si>
    <t>Response Time</t>
  </si>
  <si>
    <t>Antwortzeit</t>
  </si>
  <si>
    <t>Throughput</t>
  </si>
  <si>
    <t>Durchsatz / Verarbeitungsgeschwindigkeit</t>
  </si>
  <si>
    <t>Bottleneck</t>
  </si>
  <si>
    <t>Engpass / Bremse</t>
  </si>
  <si>
    <t>Optimization</t>
  </si>
  <si>
    <t>Verbesserung / Beschleunigung</t>
  </si>
  <si>
    <t>Load</t>
  </si>
  <si>
    <t>Last / Auslastung</t>
  </si>
  <si>
    <t>Capacity</t>
  </si>
  <si>
    <t>Kapazität / wie viel möglich ist</t>
  </si>
  <si>
    <t>Scalability</t>
  </si>
  <si>
    <t>Erweiterbarkeit / Wachstumsfähigkeit</t>
  </si>
  <si>
    <t>Monitoring</t>
  </si>
  <si>
    <t>Überwachung</t>
  </si>
  <si>
    <t>Alert</t>
  </si>
  <si>
    <t>Warnung / Benachrichtigung</t>
  </si>
  <si>
    <t>Log</t>
  </si>
  <si>
    <t>Protokoll / Aufzeichnung</t>
  </si>
  <si>
    <t>Security</t>
  </si>
  <si>
    <t>Sicherheit</t>
  </si>
  <si>
    <t>Authentication</t>
  </si>
  <si>
    <t>Anmeldung / Identitätsprüfung</t>
  </si>
  <si>
    <t>Authorization</t>
  </si>
  <si>
    <t>Berechtigung / Zugriffsrechte</t>
  </si>
  <si>
    <t>Encryption</t>
  </si>
  <si>
    <t>Verschlüsselung</t>
  </si>
  <si>
    <t>SSL/TLS</t>
  </si>
  <si>
    <t>gesicherte Verbindung</t>
  </si>
  <si>
    <t>Firewall</t>
  </si>
  <si>
    <t>Schutzwall / Sicherheitsbarriere</t>
  </si>
  <si>
    <t>Vulnerability</t>
  </si>
  <si>
    <t>Sicherheitslücke</t>
  </si>
  <si>
    <t>Compliance</t>
  </si>
  <si>
    <t>Einhaltung von Vorschriften</t>
  </si>
  <si>
    <t>GDPR/DSGVO</t>
  </si>
  <si>
    <t>Datenschutzverordnung</t>
  </si>
  <si>
    <t>Audit</t>
  </si>
  <si>
    <t>Prüfung / Kontrolle</t>
  </si>
  <si>
    <t>Access Control</t>
  </si>
  <si>
    <t>Zugriffskontrolle / wer darf was</t>
  </si>
  <si>
    <t>Database</t>
  </si>
  <si>
    <t>Datenbank</t>
  </si>
  <si>
    <t>Query</t>
  </si>
  <si>
    <t>Abfrage / Suche</t>
  </si>
  <si>
    <t>Dataset</t>
  </si>
  <si>
    <t>Datensatz</t>
  </si>
  <si>
    <t>Data Lake</t>
  </si>
  <si>
    <t>zentrale Datensammlung</t>
  </si>
  <si>
    <t>Data Warehouse</t>
  </si>
  <si>
    <t>Datenlager / zentrale Datenspeicher</t>
  </si>
  <si>
    <t>ETL</t>
  </si>
  <si>
    <t>Datenverarbeitung (Extract-Transform-Load)</t>
  </si>
  <si>
    <t>Business Intelligence</t>
  </si>
  <si>
    <t>Geschäftsanalyse / Auswertungen</t>
  </si>
  <si>
    <t>BI</t>
  </si>
  <si>
    <t>Geschäftsanalyse</t>
  </si>
  <si>
    <t>Dashboard</t>
  </si>
  <si>
    <t>Übersicht / Kontrollzentrum</t>
  </si>
  <si>
    <t>Report</t>
  </si>
  <si>
    <t>Bericht / Auswertung</t>
  </si>
  <si>
    <t>Analytics</t>
  </si>
  <si>
    <t>Analyse / Auswertung</t>
  </si>
  <si>
    <t>KPI</t>
  </si>
  <si>
    <t>Kennzahl / wichtiger Wert</t>
  </si>
  <si>
    <t>Metric</t>
  </si>
  <si>
    <t>Messwert / Kennzahl</t>
  </si>
  <si>
    <t>Architecture</t>
  </si>
  <si>
    <t>Aufbau / Struktur</t>
  </si>
  <si>
    <t>Infrastructure</t>
  </si>
  <si>
    <t>technische Grundlage</t>
  </si>
  <si>
    <t>Platform</t>
  </si>
  <si>
    <t>Plattform / Basis</t>
  </si>
  <si>
    <t>Environment</t>
  </si>
  <si>
    <t>Umgebung (z.B. Test-Umgebung)</t>
  </si>
  <si>
    <t>Production</t>
  </si>
  <si>
    <t>Produktiv-System / Echtbetrieb</t>
  </si>
  <si>
    <t>Staging</t>
  </si>
  <si>
    <t>Vorproduktions-System / Test vor Echtbetrieb</t>
  </si>
  <si>
    <t>Development</t>
  </si>
  <si>
    <t>Entwicklungs-System</t>
  </si>
  <si>
    <t>Sandbox</t>
  </si>
  <si>
    <t>geschützter Testbereich</t>
  </si>
  <si>
    <t>Cluster</t>
  </si>
  <si>
    <t>Verbund / mehrere Server zusammen</t>
  </si>
  <si>
    <t>Node</t>
  </si>
  <si>
    <t>Knotenpunkt / einzelner Server</t>
  </si>
  <si>
    <t>Load Balancer</t>
  </si>
  <si>
    <t>Lastverteiler</t>
  </si>
  <si>
    <t>Agile</t>
  </si>
  <si>
    <t>flexibel / schrittweise</t>
  </si>
  <si>
    <t>Scrum</t>
  </si>
  <si>
    <t>agile Methode (oder: flexibles Vorgehen)</t>
  </si>
  <si>
    <t>Waterfall</t>
  </si>
  <si>
    <t>klassisches Vorgehen / Schritt für Schritt</t>
  </si>
  <si>
    <t>CI/CD</t>
  </si>
  <si>
    <t>automatische Updates</t>
  </si>
  <si>
    <t>DevOps</t>
  </si>
  <si>
    <t>enge Zusammenarbeit Entwicklung &amp; Betrieb</t>
  </si>
  <si>
    <t>Testing</t>
  </si>
  <si>
    <t>Tests / Prüfungen</t>
  </si>
  <si>
    <t>QA</t>
  </si>
  <si>
    <t>Qualitätssicherung</t>
  </si>
  <si>
    <t>Deployment</t>
  </si>
  <si>
    <t>Bereitstellung / Auslieferung</t>
  </si>
  <si>
    <t>Version Control</t>
  </si>
  <si>
    <t>Versionsverwaltung</t>
  </si>
  <si>
    <t>Repository</t>
  </si>
  <si>
    <t>Ablage / Speicher für Code</t>
  </si>
  <si>
    <t>Commit</t>
  </si>
  <si>
    <t>Änderung speichern</t>
  </si>
  <si>
    <t>Merge</t>
  </si>
  <si>
    <t>zusammenführen</t>
  </si>
  <si>
    <t>Branch</t>
  </si>
  <si>
    <t>Entwicklungszweig</t>
  </si>
  <si>
    <t>Digital Transformation</t>
  </si>
  <si>
    <t>Digitalisierung</t>
  </si>
  <si>
    <t>Innovation</t>
  </si>
  <si>
    <t>Neuerung / Verbesserung</t>
  </si>
  <si>
    <t>State-of-the-Art</t>
  </si>
  <si>
    <t>neuester Stand / modernste</t>
  </si>
  <si>
    <t>Best Practice</t>
  </si>
  <si>
    <t>bewährtes Vorgehen</t>
  </si>
  <si>
    <t>Cutting-edge</t>
  </si>
  <si>
    <t>hochmodern / neueste Technologie</t>
  </si>
  <si>
    <t>Enterprise</t>
  </si>
  <si>
    <t>Großunternehmen / unternehmensweite</t>
  </si>
  <si>
    <t>End-to-End</t>
  </si>
  <si>
    <t>durchgängig / von Anfang bis Ende</t>
  </si>
  <si>
    <t>Seamless</t>
  </si>
  <si>
    <t>nahtlos / reibungslos</t>
  </si>
  <si>
    <t>Turnkey</t>
  </si>
  <si>
    <t>schlüsselfertig / sofort einsatzbereit</t>
  </si>
  <si>
    <t>Out-of-the-box</t>
  </si>
  <si>
    <t>sofort nutzbar / ohne Anpassung</t>
  </si>
  <si>
    <t>Legacy</t>
  </si>
  <si>
    <t>Altsystem / bestehende Systeme</t>
  </si>
  <si>
    <t>Greenfield</t>
  </si>
  <si>
    <t>Neuaufbau / von Grund auf neu</t>
  </si>
  <si>
    <t>Brownfield</t>
  </si>
  <si>
    <t>Bestandssystem erweitern</t>
  </si>
  <si>
    <t>Proof of Concept</t>
  </si>
  <si>
    <t>Machbarkeitstest / Pilotprojekt</t>
  </si>
  <si>
    <t>POC</t>
  </si>
  <si>
    <t>Pilotprojekt</t>
  </si>
  <si>
    <t>MVP</t>
  </si>
  <si>
    <t>Minimal funktionsfähige Version / erste Version</t>
  </si>
  <si>
    <t>Beta</t>
  </si>
  <si>
    <t>Testphase / Vorabversion</t>
  </si>
  <si>
    <t>Alpha</t>
  </si>
  <si>
    <t>frühe Testphase</t>
  </si>
  <si>
    <t>Machine Learning</t>
  </si>
  <si>
    <t>Software die aus Daten lernt</t>
  </si>
  <si>
    <t>AI/KI</t>
  </si>
  <si>
    <t>künstliche Intelligenz</t>
  </si>
  <si>
    <t>Deep Learning</t>
  </si>
  <si>
    <t>fortgeschrittenes maschinelles Lernen</t>
  </si>
  <si>
    <t>Neural Network</t>
  </si>
  <si>
    <t>künstliches neuronales Netz</t>
  </si>
  <si>
    <t>Algorithm</t>
  </si>
  <si>
    <t>Berechnungsverfahren</t>
  </si>
  <si>
    <t>Blockchain</t>
  </si>
  <si>
    <t>manipulationssichere Aufzeichnung</t>
  </si>
  <si>
    <t>IoT</t>
  </si>
  <si>
    <t>vernetzte Geräte / Internet der Dinge</t>
  </si>
  <si>
    <t>Edge Computing</t>
  </si>
  <si>
    <t>Berechnung vor Ort (nicht in Cloud)</t>
  </si>
  <si>
    <t>Microservices</t>
  </si>
  <si>
    <t>unabhängige Bausteine</t>
  </si>
  <si>
    <t>Serverless</t>
  </si>
  <si>
    <t>keine Server-Wartung nötig</t>
  </si>
  <si>
    <t>Container</t>
  </si>
  <si>
    <t>isolierte Software-Pakete</t>
  </si>
  <si>
    <t>Kubernetes</t>
  </si>
  <si>
    <t>automatische Container-Verwaltung</t>
  </si>
  <si>
    <t>Docker</t>
  </si>
  <si>
    <t>Container-Technologie</t>
  </si>
  <si>
    <t>Virtual Machine</t>
  </si>
  <si>
    <t>virtueller Computer</t>
  </si>
  <si>
    <t>Hypervisor</t>
  </si>
  <si>
    <t>Virtualisierungs-Software</t>
  </si>
  <si>
    <t>User Interface</t>
  </si>
  <si>
    <t>Benutzeroberfläche</t>
  </si>
  <si>
    <t>UI</t>
  </si>
  <si>
    <t>User Experience</t>
  </si>
  <si>
    <t>Benutzererlebnis / wie es sich anfühlt</t>
  </si>
  <si>
    <t>UX</t>
  </si>
  <si>
    <t>Benutzererlebnis</t>
  </si>
  <si>
    <t>Responsive</t>
  </si>
  <si>
    <t>passt sich an (Handy, Tablet, PC)</t>
  </si>
  <si>
    <t>Mobile-first</t>
  </si>
  <si>
    <t>für Handys optimiert</t>
  </si>
  <si>
    <t>Usability</t>
  </si>
  <si>
    <t>Benutzerfreundlichkeit</t>
  </si>
  <si>
    <t>Accessibility</t>
  </si>
  <si>
    <t>Barrierefreiheit / für alle nutzbar</t>
  </si>
  <si>
    <t>Anzahl Fachbegriffe:</t>
  </si>
  <si>
    <t>❌ VORHER (technisch):</t>
  </si>
  <si>
    <t>✅ NACHHER (kundenorientiert):</t>
  </si>
  <si>
    <t>TEXT QUICK-CHECK</t>
  </si>
  <si>
    <t>Frage</t>
  </si>
  <si>
    <t>Antwort</t>
  </si>
  <si>
    <t>Kann ein Nicht-Techniker den Text verstehen?</t>
  </si>
  <si>
    <t>Sind konkrete Zahlen enthalten (Zeit, Geld, Prozent)?</t>
  </si>
  <si>
    <t>Spricht der Text ein konkretes Problem an?</t>
  </si>
  <si>
    <t>Ist die Sprache aktiv ("Sie können" statt "Es wird ermöglicht")?</t>
  </si>
  <si>
    <t>Sind Fachbegriffe erklärt oder vermieden?</t>
  </si>
  <si>
    <t>Ist der Nutzen emotional/geschäftlich relevant (nicht nur funktional)?</t>
  </si>
  <si>
    <t>Würde ein Geschäftsführer (nicht nur IT-Leiter) den Wert erkennen?</t>
  </si>
  <si>
    <t>Ist der Text kürzer als 3 Sätze pro Feature?</t>
  </si>
  <si>
    <t>Gibt es konkrete Beispiele oder Use Cases?</t>
  </si>
  <si>
    <t>Steht der Kundennutzen VOR der technischen Beschreibung?</t>
  </si>
  <si>
    <t>ERGEBNIS:</t>
  </si>
  <si>
    <t>Ja-Antworten:</t>
  </si>
  <si>
    <t>Score:</t>
  </si>
  <si>
    <t>Fügen Sie Text ein – das Tool markiert technische Begriffe, die Kunden nicht verstehen.
Über 157 Begriffe werden geprüft! Scrollen Sie und ersetzen Sie alle ❌-Begriffe durch die Alternativen.</t>
  </si>
  <si>
    <t>Im Text?</t>
  </si>
  <si>
    <t>Ihr bestehendes System binden wir durchgängig in die neue Lösung ein.</t>
  </si>
  <si>
    <t>Ihr Legacy-System integrieren wir End-to-End in die neue Platform.</t>
  </si>
  <si>
    <t>Das ist ein Testlauf – wenn er klappt, bauen wir die vollständige Lösung für Ihr Unternehmen.</t>
  </si>
  <si>
    <t>Das ist ein Proof of Concept – wenn er funktioniert, bauen wir die Enterprise-Lösung.</t>
  </si>
  <si>
    <t>Wir nutzen modernste Technik, damit die Bedienung reibungslos funktioniert.</t>
  </si>
  <si>
    <t>Wir nutzen State-of-the-Art-Technologie für eine seamless User Experience.</t>
  </si>
  <si>
    <t>Im Echtbetrieb läuft die sichere Version, neue Funktionen testen wir vorher separat.</t>
  </si>
  <si>
    <t>In der Production-Environment läuft die stabile Version, neue Features testen wir in Staging.</t>
  </si>
  <si>
    <t>Das System verteilt Anfragen automatisch auf mehrere Server für gleichbleibende Geschwindigkeit.</t>
  </si>
  <si>
    <t>Der Load Balancer verteilt Anfragen auf mehrere Nodes im Cluster.</t>
  </si>
  <si>
    <t>Unser Baustein-System ermöglicht Updates einzelner Teile, ohne das Gesamtsystem zu stören.</t>
  </si>
  <si>
    <t>Unsere Microservices-Architecture ermöglicht unabhängiges Deployment einzelner Module.</t>
  </si>
  <si>
    <t>Die Analyse-Software wertet Ihre Daten aus und zeigt Ihnen Trends.</t>
  </si>
  <si>
    <t>Die Analytics-Plattform wertet Ihre Datasets aus und identifiziert Trends.</t>
  </si>
  <si>
    <t>Wir holen Daten aus Ihrem zentralen Speicher und bereiten sie automatisch auf.</t>
  </si>
  <si>
    <t>Wir ziehen Daten aus dem Data Warehouse und bereiten sie im ETL-Prozess auf.</t>
  </si>
  <si>
    <t>Ihre Übersicht zeigt alle wichtigen Kennzahlen live. Auswertungen können Sie selbst erstellen.</t>
  </si>
  <si>
    <t>Unser BI-Dashboard zeigt alle KPIs in Echtzeit. Reports können per Query selbst erstellt werden.</t>
  </si>
  <si>
    <t>Die Schutzbarriere stoppt Angriffe automatisch, bevor Schaden entsteht.</t>
  </si>
  <si>
    <t>Die Firewall blockt Vulnerabilities automatisch, bevor Zugriff möglich ist.</t>
  </si>
  <si>
    <t>Wir erfüllen die Datenschutzverordnung und prüfen regelmäßig unsere Sicherheit.</t>
  </si>
  <si>
    <t>Wir sind GDPR-compliant und führen regelmäßige Security-Audits durch.</t>
  </si>
  <si>
    <t>Die Anmeldung ist hochsicher, alle Daten werden verschlüsselt übertragen.</t>
  </si>
  <si>
    <t>Die Authentication läuft über OAuth, alle Daten werden mit SSL-Verschlüsselung übertragen.</t>
  </si>
  <si>
    <t>Unser Überwachungssystem warnt Sie bei Problemen, bevor Ausfälle entstehen.</t>
  </si>
  <si>
    <t>Unser Monitoring schickt Alerts bei Auffälligkeiten, bevor Downtime entsteht.</t>
  </si>
  <si>
    <t>Wir haben die Bremse gefunden – nach dem Update wird alles deutlich schneller.</t>
  </si>
  <si>
    <t>Der Bottleneck wurde identifiziert – nach dem Update steigt die Performance deutlich.</t>
  </si>
  <si>
    <t>Durch Verbesserungen reagiert das System 70% schneller und verarbeitet doppelt so viele Anfragen.</t>
  </si>
  <si>
    <t>Durch Optimization haben wir die Latency um 70% reduziert und den Throughput verdoppelt.</t>
  </si>
  <si>
    <t>Die Benutzeroberfläche ist über eine sichere Verbindung mit dem System im Hintergrund verbunden.</t>
  </si>
  <si>
    <t>Das Frontend kommuniziert über eine REST-API mit dem Backend.</t>
  </si>
  <si>
    <t>Nach dem Umzug gleichen wir alle Systeme ab und stellen sicher, dass die Verbindungen funktionieren.</t>
  </si>
  <si>
    <t>Nach der Migration synchronisieren wir alle Systeme und stellen die API-Integration sicher.</t>
  </si>
  <si>
    <t>Ihre Daten liegen bei Ihnen vor Ort, die Sicherungskopie läuft automatisch online.</t>
  </si>
  <si>
    <t>Ihre Daten liegen on-premise, mit Backup in der Cloud als Hybrid-Lösung.</t>
  </si>
  <si>
    <t>Die schnelle Fehlerkorrektur wird heute noch eingespielt.</t>
  </si>
  <si>
    <t>Der Hotfix für den kritischen Bug wird heute noch ausgerollt.</t>
  </si>
  <si>
    <t>Wir stellen die Verbesserung erst bereit, nachdem wir sie im Testsystem geprüft haben.</t>
  </si>
  <si>
    <t>Wir deployen das Enhancement erst nach erfolgreichem Testing in der Staging-Umgebung.</t>
  </si>
  <si>
    <t>Die letzte Version behebt mehrere Fehler und bringt zwei neue Funktionen. Die nächste Aktualisierung kommt nächste Woche.</t>
  </si>
  <si>
    <t>Das letzte Release enthielt mehrere Bugfixes und zwei neue Features. Das nächste Update kommt nächste Woche.</t>
  </si>
  <si>
    <t>Wir brauchen die Freigabe aller Beteiligten, bevor wir die Einführung starten können.</t>
  </si>
  <si>
    <t>Wir brauchen Sign-off von allen Stakeholdern, bevor wir mit dem Rollout starten können.</t>
  </si>
  <si>
    <t>Nach Ihrem Änderungswunsch haben wir den Projektumfang angepasst. Das Ergebnis bekommen Sie in zwei Wochen.</t>
  </si>
  <si>
    <t>Der Scope wurde nach dem Change Request angepasst. Das neue Deliverable kommt zum nächsten Sprint-Ende.</t>
  </si>
  <si>
    <t>Wir beginnen mit einem Starttermin, legen gemeinsam Zwischenziele fest und halten Sie über den Fortschritt auf dem Laufenden.</t>
  </si>
  <si>
    <t>Wir starten mit einem Kick-off-Meeting, definieren Milestones und tracken den Progress über unser Ticketing-System.</t>
  </si>
  <si>
    <t>Beispiele nach Kategorien – für verschiedene Kundensituationen
TIPP: Nutzen Sie Tab 1 (Translator) für Ihre eigenen Texte!</t>
  </si>
  <si>
    <t>Praxis-Beispiele: Vorher/Nachher</t>
  </si>
  <si>
    <t>PROJEKTMANAGEMENT</t>
  </si>
  <si>
    <t>REAL-WORLD KUNDENGESPRÄCHE</t>
  </si>
  <si>
    <t>ARCHITEKTUR</t>
  </si>
  <si>
    <t>DATEN &amp; ANALYTICS</t>
  </si>
  <si>
    <t>SICHERHEIT &amp; COMPLIANCE</t>
  </si>
  <si>
    <t>PERFORMANCE &amp; QUALITÄT</t>
  </si>
  <si>
    <t>TECHNISCHE BASIS</t>
  </si>
  <si>
    <t>SOFTWARE-ENTWICKLUNG</t>
  </si>
  <si>
    <t>Analyse-Ergebnis:</t>
  </si>
  <si>
    <t>Details: gefundene Fachbegriffe</t>
  </si>
  <si>
    <t>Übersetzen Sie technische Features in Kundensprache – automatisch mit Bewertung
Tragen Sie Ihre Features ein. 
Das Tool bewertet automatisch, ob die Übersetzung kundenorientiert ist.</t>
  </si>
  <si>
    <t>Holistic Communication | holistic-communication.com</t>
  </si>
  <si>
    <t>Beantworten Sie diese Fragen für Ihren Text. 
Je mehr ✓, desto kundenorientierter.</t>
  </si>
  <si>
    <t>ÜBERSETZER: Technik zu Kundennutzen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</si>
</sst>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"/>
    </font>
    <font>
      <b/>
      <sz val="10"/>
      <name val="Cambria"/>
      <charset val="1"/>
    </font>
    <font>
      <i/>
      <sz val="9"/>
      <name val="Cambria"/>
      <charset val="1"/>
    </font>
    <font>
      <i/>
      <sz val="10"/>
      <color rgb="FF666666"/>
      <name val="Cambria"/>
      <charset val="1"/>
    </font>
    <font>
      <sz val="9"/>
      <name val="Calibri"/>
    </font>
    <font>
      <b/>
      <sz val="9"/>
      <color rgb="FF008000"/>
      <name val="Calibri"/>
    </font>
    <font>
      <b/>
      <sz val="9"/>
      <color rgb="FFFF0000"/>
      <name val="Calibri"/>
    </font>
    <font>
      <b/>
      <sz val="16"/>
      <color rgb="FFE9BB70"/>
      <name val="Kumbh Sans"/>
    </font>
    <font>
      <b/>
      <sz val="10"/>
      <name val="Cambria"/>
      <family val="1"/>
    </font>
    <font>
      <sz val="11"/>
      <color rgb="FFE9BB70"/>
      <name val="Kumbh Sans"/>
    </font>
    <font>
      <sz val="11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color rgb="FF0000FF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color rgb="FFE9BB70"/>
      <name val="Cambria"/>
      <family val="1"/>
      <scheme val="major"/>
    </font>
    <font>
      <b/>
      <sz val="9"/>
      <name val="Cambria"/>
      <family val="1"/>
      <scheme val="major"/>
    </font>
    <font>
      <b/>
      <sz val="11"/>
      <color rgb="FFFF0000"/>
      <name val="Cambria"/>
      <family val="1"/>
      <scheme val="major"/>
    </font>
    <font>
      <sz val="9"/>
      <color rgb="FF008000"/>
      <name val="Cambria"/>
      <family val="1"/>
      <scheme val="major"/>
    </font>
    <font>
      <b/>
      <sz val="14"/>
      <color theme="3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2"/>
      <color rgb="FFE9BB70"/>
      <name val="Kumbh Sans"/>
    </font>
    <font>
      <b/>
      <i/>
      <sz val="10"/>
      <color rgb="FFD4A351"/>
      <name val="Cambria"/>
      <family val="1"/>
    </font>
    <font>
      <b/>
      <i/>
      <sz val="10"/>
      <color rgb="FFD4A351"/>
      <name val="Calibri"/>
      <family val="2"/>
    </font>
    <font>
      <b/>
      <i/>
      <sz val="10"/>
      <color rgb="FFD4A351"/>
      <name val="Cambria"/>
      <family val="1"/>
      <scheme val="major"/>
    </font>
    <font>
      <sz val="12"/>
      <color rgb="FFE9BB70"/>
      <name val="Kumbh Sans"/>
    </font>
    <font>
      <sz val="9"/>
      <name val="Cambria"/>
      <family val="1"/>
      <scheme val="major"/>
    </font>
    <font>
      <sz val="10"/>
      <color rgb="FF0000FF"/>
      <name val="Cambria"/>
      <family val="1"/>
    </font>
  </fonts>
  <fills count="15">
    <fill>
      <patternFill patternType="none"/>
    </fill>
    <fill>
      <patternFill patternType="gray125"/>
    </fill>
    <fill>
      <patternFill patternType="solid">
        <fgColor rgb="FFE6F2FF"/>
        <bgColor rgb="FFE6F9E6"/>
      </patternFill>
    </fill>
    <fill>
      <patternFill patternType="solid">
        <fgColor rgb="FFE6F9E6"/>
        <bgColor rgb="FFE6F2FF"/>
      </patternFill>
    </fill>
    <fill>
      <patternFill patternType="solid">
        <fgColor rgb="FFFFF9E6"/>
        <bgColor rgb="FFFFFFFF"/>
      </patternFill>
    </fill>
    <fill>
      <patternFill patternType="solid">
        <fgColor rgb="FFFFE6E6"/>
        <bgColor rgb="FFFFF9E6"/>
      </patternFill>
    </fill>
    <fill>
      <patternFill patternType="solid">
        <fgColor rgb="FFE6F9E6"/>
      </patternFill>
    </fill>
    <fill>
      <patternFill patternType="solid">
        <fgColor rgb="FFFFE6E6"/>
      </patternFill>
    </fill>
    <fill>
      <patternFill patternType="solid">
        <fgColor rgb="FF3C3C3B"/>
        <bgColor rgb="FF003366"/>
      </patternFill>
    </fill>
    <fill>
      <patternFill patternType="solid">
        <fgColor theme="0" tint="-0.34998626667073579"/>
        <bgColor rgb="FF666666"/>
      </patternFill>
    </fill>
    <fill>
      <patternFill patternType="solid">
        <fgColor theme="1" tint="0.499984740745262"/>
        <bgColor rgb="FF003366"/>
      </patternFill>
    </fill>
    <fill>
      <patternFill patternType="solid">
        <fgColor theme="4" tint="0.79998168889431442"/>
        <bgColor rgb="FF00336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3C3C3B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3" fillId="0" borderId="0" xfId="0" applyFont="1"/>
    <xf numFmtId="0" fontId="4" fillId="6" borderId="0" xfId="0" applyFont="1" applyFill="1" applyAlignment="1">
      <alignment vertical="top" wrapText="1"/>
    </xf>
    <xf numFmtId="0" fontId="5" fillId="0" borderId="0" xfId="0" applyFont="1"/>
    <xf numFmtId="0" fontId="4" fillId="7" borderId="0" xfId="0" applyFont="1" applyFill="1" applyAlignment="1">
      <alignment vertical="top" wrapText="1"/>
    </xf>
    <xf numFmtId="0" fontId="6" fillId="0" borderId="0" xfId="0" applyFont="1"/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indent="2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0" fillId="0" borderId="0" xfId="0" applyFont="1"/>
    <xf numFmtId="0" fontId="13" fillId="0" borderId="0" xfId="0" applyFont="1"/>
    <xf numFmtId="0" fontId="16" fillId="0" borderId="0" xfId="0" applyFont="1" applyAlignment="1">
      <alignment horizontal="left" inden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16" fillId="0" borderId="0" xfId="0" applyFont="1"/>
    <xf numFmtId="0" fontId="10" fillId="0" borderId="0" xfId="0" applyFont="1" applyAlignment="1">
      <alignment horizontal="left" inden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indent="1"/>
    </xf>
    <xf numFmtId="0" fontId="20" fillId="12" borderId="0" xfId="0" applyFont="1" applyFill="1" applyAlignment="1">
      <alignment horizontal="left" vertical="center" indent="1"/>
    </xf>
    <xf numFmtId="0" fontId="14" fillId="13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left" vertical="center"/>
    </xf>
    <xf numFmtId="0" fontId="10" fillId="12" borderId="0" xfId="0" applyFont="1" applyFill="1"/>
    <xf numFmtId="0" fontId="0" fillId="12" borderId="0" xfId="0" applyFill="1"/>
    <xf numFmtId="0" fontId="21" fillId="8" borderId="0" xfId="0" applyFont="1" applyFill="1" applyAlignment="1">
      <alignment horizontal="left" vertical="center"/>
    </xf>
    <xf numFmtId="0" fontId="16" fillId="9" borderId="4" xfId="0" applyFont="1" applyFill="1" applyBorder="1" applyAlignment="1">
      <alignment horizontal="center" vertical="center"/>
    </xf>
    <xf numFmtId="0" fontId="10" fillId="0" borderId="5" xfId="0" applyFont="1" applyBorder="1"/>
    <xf numFmtId="0" fontId="16" fillId="9" borderId="2" xfId="0" applyFont="1" applyFill="1" applyBorder="1" applyAlignment="1">
      <alignment horizontal="left" vertical="center" indent="1"/>
    </xf>
    <xf numFmtId="0" fontId="16" fillId="0" borderId="6" xfId="0" applyFont="1" applyBorder="1" applyAlignment="1">
      <alignment horizontal="left" indent="1"/>
    </xf>
    <xf numFmtId="0" fontId="18" fillId="0" borderId="6" xfId="0" applyFont="1" applyBorder="1" applyAlignment="1">
      <alignment wrapText="1"/>
    </xf>
    <xf numFmtId="0" fontId="10" fillId="0" borderId="6" xfId="0" applyFont="1" applyBorder="1"/>
    <xf numFmtId="0" fontId="0" fillId="0" borderId="3" xfId="0" applyBorder="1"/>
    <xf numFmtId="0" fontId="11" fillId="9" borderId="1" xfId="0" applyFont="1" applyFill="1" applyBorder="1" applyAlignment="1">
      <alignment horizontal="left" vertical="center" indent="1"/>
    </xf>
    <xf numFmtId="0" fontId="11" fillId="9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left" wrapText="1" indent="1"/>
    </xf>
    <xf numFmtId="0" fontId="26" fillId="0" borderId="1" xfId="0" applyFont="1" applyBorder="1" applyAlignment="1">
      <alignment horizontal="left" vertical="center" wrapText="1" indent="1"/>
    </xf>
    <xf numFmtId="0" fontId="0" fillId="2" borderId="1" xfId="0" applyFill="1" applyBorder="1" applyAlignment="1" applyProtection="1">
      <alignment horizontal="left" vertical="top" wrapText="1" indent="1"/>
      <protection locked="0"/>
    </xf>
    <xf numFmtId="0" fontId="27" fillId="2" borderId="1" xfId="0" applyFont="1" applyFill="1" applyBorder="1" applyAlignment="1" applyProtection="1">
      <alignment horizontal="left" vertical="top" wrapText="1" inden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25" fillId="14" borderId="0" xfId="0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 indent="2"/>
    </xf>
    <xf numFmtId="0" fontId="7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left" vertical="center" indent="2"/>
    </xf>
    <xf numFmtId="0" fontId="16" fillId="9" borderId="7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 indent="1"/>
    </xf>
    <xf numFmtId="0" fontId="19" fillId="11" borderId="0" xfId="0" applyFont="1" applyFill="1" applyAlignment="1">
      <alignment horizontal="left" vertical="center"/>
    </xf>
    <xf numFmtId="0" fontId="12" fillId="2" borderId="0" xfId="0" applyFont="1" applyFill="1" applyAlignment="1" applyProtection="1">
      <alignment horizontal="left" vertical="top" wrapText="1" indent="1"/>
      <protection locked="0"/>
    </xf>
    <xf numFmtId="0" fontId="9" fillId="10" borderId="0" xfId="0" applyFont="1" applyFill="1" applyAlignment="1">
      <alignment horizontal="left" vertical="center" indent="1"/>
    </xf>
    <xf numFmtId="0" fontId="23" fillId="0" borderId="0" xfId="0" applyFont="1" applyAlignment="1">
      <alignment horizontal="left" vertical="center" wrapText="1" indent="2"/>
    </xf>
    <xf numFmtId="0" fontId="24" fillId="0" borderId="0" xfId="0" applyFont="1" applyAlignment="1">
      <alignment horizontal="left" vertical="center" indent="1"/>
    </xf>
    <xf numFmtId="0" fontId="15" fillId="10" borderId="0" xfId="0" applyFont="1" applyFill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6F9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F2FF"/>
      <rgbColor rgb="FFCCFFCC"/>
      <rgbColor rgb="FFFFE6E6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67E22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A3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47626</xdr:rowOff>
    </xdr:from>
    <xdr:to>
      <xdr:col>8</xdr:col>
      <xdr:colOff>228600</xdr:colOff>
      <xdr:row>0</xdr:row>
      <xdr:rowOff>521550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88899F8-40BC-4BBA-ACAE-DA40A09D9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5" y="47626"/>
          <a:ext cx="1924050" cy="47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38101</xdr:rowOff>
    </xdr:from>
    <xdr:to>
      <xdr:col>7</xdr:col>
      <xdr:colOff>133350</xdr:colOff>
      <xdr:row>0</xdr:row>
      <xdr:rowOff>488563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FC4A82C-FD17-4CBB-A0AE-107B3CE6E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38101"/>
          <a:ext cx="1828800" cy="4504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38101</xdr:rowOff>
    </xdr:from>
    <xdr:to>
      <xdr:col>4</xdr:col>
      <xdr:colOff>561975</xdr:colOff>
      <xdr:row>0</xdr:row>
      <xdr:rowOff>453371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F04B944-8BA2-42F8-9363-2CA8C702E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38101"/>
          <a:ext cx="1685925" cy="4152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0</xdr:row>
      <xdr:rowOff>19051</xdr:rowOff>
    </xdr:from>
    <xdr:to>
      <xdr:col>4</xdr:col>
      <xdr:colOff>381000</xdr:colOff>
      <xdr:row>0</xdr:row>
      <xdr:rowOff>385051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EE5E644-F536-4828-AF20-6B9057CEF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6" y="19051"/>
          <a:ext cx="1485899" cy="3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Normal="100" workbookViewId="0">
      <selection activeCell="A2" sqref="A2:E4"/>
    </sheetView>
  </sheetViews>
  <sheetFormatPr baseColWidth="10" defaultColWidth="8.7109375" defaultRowHeight="15" x14ac:dyDescent="0.25"/>
  <cols>
    <col min="1" max="3" width="28.140625" customWidth="1"/>
    <col min="4" max="4" width="21.42578125" customWidth="1"/>
    <col min="5" max="5" width="19" customWidth="1"/>
  </cols>
  <sheetData>
    <row r="1" spans="1:5" ht="44.25" customHeight="1" x14ac:dyDescent="0.25">
      <c r="A1" s="47" t="s">
        <v>419</v>
      </c>
      <c r="B1" s="47"/>
      <c r="C1" s="47"/>
      <c r="D1" s="47"/>
      <c r="E1" s="47"/>
    </row>
    <row r="2" spans="1:5" ht="15" customHeight="1" x14ac:dyDescent="0.25">
      <c r="A2" s="46" t="s">
        <v>416</v>
      </c>
      <c r="B2" s="46"/>
      <c r="C2" s="46"/>
      <c r="D2" s="46"/>
      <c r="E2" s="46"/>
    </row>
    <row r="3" spans="1:5" ht="18.75" customHeight="1" x14ac:dyDescent="0.25">
      <c r="A3" s="46"/>
      <c r="B3" s="46"/>
      <c r="C3" s="46"/>
      <c r="D3" s="46"/>
      <c r="E3" s="46"/>
    </row>
    <row r="4" spans="1:5" ht="21.75" customHeight="1" x14ac:dyDescent="0.25">
      <c r="A4" s="46"/>
      <c r="B4" s="46"/>
      <c r="C4" s="46"/>
      <c r="D4" s="46"/>
      <c r="E4" s="46"/>
    </row>
    <row r="5" spans="1:5" ht="34.5" customHeight="1" x14ac:dyDescent="0.25">
      <c r="A5" s="9" t="s">
        <v>0</v>
      </c>
      <c r="B5" s="9" t="s">
        <v>1</v>
      </c>
      <c r="C5" s="9" t="s">
        <v>2</v>
      </c>
      <c r="D5" s="8" t="s">
        <v>3</v>
      </c>
      <c r="E5" s="9" t="s">
        <v>4</v>
      </c>
    </row>
    <row r="6" spans="1:5" ht="29.25" customHeight="1" x14ac:dyDescent="0.25">
      <c r="A6" s="43" t="s">
        <v>5</v>
      </c>
      <c r="B6" s="43" t="s">
        <v>6</v>
      </c>
      <c r="C6" s="43" t="s">
        <v>7</v>
      </c>
      <c r="D6" s="1" t="str">
        <f t="shared" ref="D6:D18" si="0">IF(A6="","",IF(OR(ISNUMBER(SEARCH("h",C6)),ISNUMBER(SEARCH("€",C6)),ISNUMBER(SEARCH("%",C6))),"🟢 Gut",IF(LEN(C6)&gt;20,"🟡 OK","🔴 Verbessern")))</f>
        <v>🟢 Gut</v>
      </c>
      <c r="E6" s="2" t="str">
        <f t="shared" ref="E6:E18" si="1">IF(A6="","",IF(D6="🟢 Gut","Bereit zum Einsatz",IF(D6="🟡 OK","Zahlen ergänzen","Konkrete Zahlen fehlen")))</f>
        <v>Bereit zum Einsatz</v>
      </c>
    </row>
    <row r="7" spans="1:5" ht="29.25" customHeight="1" x14ac:dyDescent="0.25">
      <c r="A7" s="43" t="s">
        <v>8</v>
      </c>
      <c r="B7" s="43" t="s">
        <v>9</v>
      </c>
      <c r="C7" s="43" t="s">
        <v>10</v>
      </c>
      <c r="D7" s="1" t="str">
        <f t="shared" si="0"/>
        <v>🟢 Gut</v>
      </c>
      <c r="E7" s="2" t="str">
        <f t="shared" si="1"/>
        <v>Bereit zum Einsatz</v>
      </c>
    </row>
    <row r="8" spans="1:5" ht="29.25" customHeight="1" x14ac:dyDescent="0.25">
      <c r="A8" s="43" t="s">
        <v>11</v>
      </c>
      <c r="B8" s="43" t="s">
        <v>12</v>
      </c>
      <c r="C8" s="43" t="s">
        <v>13</v>
      </c>
      <c r="D8" s="1" t="str">
        <f t="shared" si="0"/>
        <v>🟡 OK</v>
      </c>
      <c r="E8" s="2" t="str">
        <f t="shared" si="1"/>
        <v>Zahlen ergänzen</v>
      </c>
    </row>
    <row r="9" spans="1:5" ht="29.25" customHeight="1" x14ac:dyDescent="0.25">
      <c r="A9" s="42"/>
      <c r="B9" s="42"/>
      <c r="C9" s="42"/>
      <c r="D9" s="1" t="str">
        <f t="shared" si="0"/>
        <v/>
      </c>
      <c r="E9" s="2" t="str">
        <f t="shared" si="1"/>
        <v/>
      </c>
    </row>
    <row r="10" spans="1:5" ht="29.25" customHeight="1" x14ac:dyDescent="0.25">
      <c r="A10" s="42"/>
      <c r="B10" s="42"/>
      <c r="C10" s="42"/>
      <c r="D10" s="1" t="str">
        <f t="shared" si="0"/>
        <v/>
      </c>
      <c r="E10" s="2" t="str">
        <f t="shared" si="1"/>
        <v/>
      </c>
    </row>
    <row r="11" spans="1:5" ht="29.25" customHeight="1" x14ac:dyDescent="0.25">
      <c r="A11" s="42"/>
      <c r="B11" s="42"/>
      <c r="C11" s="42"/>
      <c r="D11" s="1" t="str">
        <f t="shared" si="0"/>
        <v/>
      </c>
      <c r="E11" s="2" t="str">
        <f t="shared" si="1"/>
        <v/>
      </c>
    </row>
    <row r="12" spans="1:5" ht="29.25" customHeight="1" x14ac:dyDescent="0.25">
      <c r="A12" s="42"/>
      <c r="B12" s="42"/>
      <c r="C12" s="42"/>
      <c r="D12" s="1" t="str">
        <f t="shared" si="0"/>
        <v/>
      </c>
      <c r="E12" s="2" t="str">
        <f t="shared" si="1"/>
        <v/>
      </c>
    </row>
    <row r="13" spans="1:5" ht="29.25" customHeight="1" x14ac:dyDescent="0.25">
      <c r="A13" s="42"/>
      <c r="B13" s="42"/>
      <c r="C13" s="42"/>
      <c r="D13" s="1" t="str">
        <f t="shared" si="0"/>
        <v/>
      </c>
      <c r="E13" s="2" t="str">
        <f t="shared" si="1"/>
        <v/>
      </c>
    </row>
    <row r="14" spans="1:5" ht="29.25" customHeight="1" x14ac:dyDescent="0.25">
      <c r="A14" s="42"/>
      <c r="B14" s="42"/>
      <c r="C14" s="42"/>
      <c r="D14" s="1" t="str">
        <f t="shared" si="0"/>
        <v/>
      </c>
      <c r="E14" s="2" t="str">
        <f t="shared" si="1"/>
        <v/>
      </c>
    </row>
    <row r="15" spans="1:5" ht="29.25" customHeight="1" x14ac:dyDescent="0.25">
      <c r="A15" s="42"/>
      <c r="B15" s="42"/>
      <c r="C15" s="42"/>
      <c r="D15" s="1" t="str">
        <f t="shared" si="0"/>
        <v/>
      </c>
      <c r="E15" s="2" t="str">
        <f t="shared" si="1"/>
        <v/>
      </c>
    </row>
    <row r="16" spans="1:5" ht="29.25" customHeight="1" x14ac:dyDescent="0.25">
      <c r="A16" s="42"/>
      <c r="B16" s="42"/>
      <c r="C16" s="42"/>
      <c r="D16" s="1" t="str">
        <f t="shared" si="0"/>
        <v/>
      </c>
      <c r="E16" s="2" t="str">
        <f t="shared" si="1"/>
        <v/>
      </c>
    </row>
    <row r="17" spans="1:5" ht="29.25" customHeight="1" x14ac:dyDescent="0.25">
      <c r="A17" s="42"/>
      <c r="B17" s="42"/>
      <c r="C17" s="42"/>
      <c r="D17" s="1" t="str">
        <f t="shared" si="0"/>
        <v/>
      </c>
      <c r="E17" s="2" t="str">
        <f t="shared" si="1"/>
        <v/>
      </c>
    </row>
    <row r="18" spans="1:5" ht="29.25" customHeight="1" x14ac:dyDescent="0.25">
      <c r="A18" s="42"/>
      <c r="B18" s="42"/>
      <c r="C18" s="42"/>
      <c r="D18" s="1" t="str">
        <f t="shared" si="0"/>
        <v/>
      </c>
      <c r="E18" s="2" t="str">
        <f t="shared" si="1"/>
        <v/>
      </c>
    </row>
    <row r="21" spans="1:5" ht="22.5" customHeight="1" x14ac:dyDescent="0.25">
      <c r="A21" s="48" t="s">
        <v>14</v>
      </c>
      <c r="B21" s="48"/>
      <c r="C21" s="48"/>
    </row>
    <row r="22" spans="1:5" ht="15" customHeight="1" x14ac:dyDescent="0.25">
      <c r="A22" s="10" t="s">
        <v>15</v>
      </c>
      <c r="C22" s="11">
        <f>COUNTIF(D6:D18,"🟢 Gut")</f>
        <v>2</v>
      </c>
    </row>
    <row r="23" spans="1:5" ht="15" customHeight="1" x14ac:dyDescent="0.25">
      <c r="A23" s="10" t="s">
        <v>16</v>
      </c>
      <c r="C23" s="12">
        <f>COUNTIF(D6:D18,"🟡 OK")</f>
        <v>1</v>
      </c>
    </row>
    <row r="24" spans="1:5" ht="15" customHeight="1" x14ac:dyDescent="0.25">
      <c r="A24" s="10" t="s">
        <v>17</v>
      </c>
      <c r="C24" s="13">
        <f>COUNTIF(D6:D18,"🔴 Verbessern")</f>
        <v>0</v>
      </c>
    </row>
    <row r="27" spans="1:5" ht="15" customHeight="1" x14ac:dyDescent="0.25">
      <c r="A27" s="45" t="s">
        <v>417</v>
      </c>
      <c r="B27" s="45"/>
      <c r="C27" s="45"/>
      <c r="D27" s="45"/>
      <c r="E27" s="45"/>
    </row>
    <row r="28" spans="1:5" ht="15" customHeight="1" x14ac:dyDescent="0.25">
      <c r="A28" s="45"/>
      <c r="B28" s="45"/>
      <c r="C28" s="45"/>
      <c r="D28" s="45"/>
      <c r="E28" s="45"/>
    </row>
  </sheetData>
  <sheetProtection sheet="1" objects="1" scenarios="1"/>
  <mergeCells count="4">
    <mergeCell ref="A27:E28"/>
    <mergeCell ref="A2:E4"/>
    <mergeCell ref="A1:E1"/>
    <mergeCell ref="A21:C2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2"/>
  <sheetViews>
    <sheetView zoomScaleNormal="100" workbookViewId="0">
      <selection activeCell="A2" sqref="A2:D4"/>
    </sheetView>
  </sheetViews>
  <sheetFormatPr baseColWidth="10" defaultColWidth="8.7109375" defaultRowHeight="15" x14ac:dyDescent="0.25"/>
  <cols>
    <col min="1" max="1" width="20.140625" customWidth="1"/>
    <col min="2" max="2" width="8.85546875" customWidth="1"/>
    <col min="3" max="3" width="55" customWidth="1"/>
    <col min="4" max="4" width="5" customWidth="1"/>
  </cols>
  <sheetData>
    <row r="1" spans="1:4" ht="41.25" customHeight="1" x14ac:dyDescent="0.25">
      <c r="A1" s="47" t="s">
        <v>18</v>
      </c>
      <c r="B1" s="47"/>
      <c r="C1" s="47"/>
      <c r="D1" s="47"/>
    </row>
    <row r="2" spans="1:4" ht="15" customHeight="1" x14ac:dyDescent="0.25">
      <c r="A2" s="51" t="s">
        <v>354</v>
      </c>
      <c r="B2" s="51"/>
      <c r="C2" s="51"/>
      <c r="D2" s="51"/>
    </row>
    <row r="3" spans="1:4" ht="15" customHeight="1" x14ac:dyDescent="0.25">
      <c r="A3" s="51"/>
      <c r="B3" s="51"/>
      <c r="C3" s="51"/>
      <c r="D3" s="51"/>
    </row>
    <row r="4" spans="1:4" x14ac:dyDescent="0.25">
      <c r="A4" s="51"/>
      <c r="B4" s="51"/>
      <c r="C4" s="51"/>
      <c r="D4" s="51"/>
    </row>
    <row r="5" spans="1:4" ht="15" customHeight="1" x14ac:dyDescent="0.25">
      <c r="A5" s="15" t="s">
        <v>19</v>
      </c>
      <c r="B5" s="14"/>
      <c r="C5" s="14"/>
      <c r="D5" s="14"/>
    </row>
    <row r="6" spans="1:4" ht="15" customHeight="1" x14ac:dyDescent="0.25">
      <c r="A6" s="53"/>
      <c r="B6" s="53"/>
      <c r="C6" s="53"/>
      <c r="D6" s="53"/>
    </row>
    <row r="7" spans="1:4" ht="15" customHeight="1" x14ac:dyDescent="0.25">
      <c r="A7" s="53"/>
      <c r="B7" s="53"/>
      <c r="C7" s="53"/>
      <c r="D7" s="53"/>
    </row>
    <row r="8" spans="1:4" ht="15" customHeight="1" x14ac:dyDescent="0.25">
      <c r="A8" s="53"/>
      <c r="B8" s="53"/>
      <c r="C8" s="53"/>
      <c r="D8" s="53"/>
    </row>
    <row r="9" spans="1:4" ht="15" customHeight="1" x14ac:dyDescent="0.25">
      <c r="A9" s="53"/>
      <c r="B9" s="53"/>
      <c r="C9" s="53"/>
      <c r="D9" s="53"/>
    </row>
    <row r="10" spans="1:4" ht="15" customHeight="1" x14ac:dyDescent="0.25">
      <c r="A10" s="53"/>
      <c r="B10" s="53"/>
      <c r="C10" s="53"/>
      <c r="D10" s="53"/>
    </row>
    <row r="11" spans="1:4" ht="15" customHeight="1" x14ac:dyDescent="0.25">
      <c r="A11" s="53"/>
      <c r="B11" s="53"/>
      <c r="C11" s="53"/>
      <c r="D11" s="53"/>
    </row>
    <row r="12" spans="1:4" ht="15" customHeight="1" x14ac:dyDescent="0.25">
      <c r="A12" s="53"/>
      <c r="B12" s="53"/>
      <c r="C12" s="53"/>
      <c r="D12" s="53"/>
    </row>
    <row r="13" spans="1:4" ht="15" customHeight="1" x14ac:dyDescent="0.25">
      <c r="A13" s="53"/>
      <c r="B13" s="53"/>
      <c r="C13" s="53"/>
      <c r="D13" s="53"/>
    </row>
    <row r="14" spans="1:4" ht="15" customHeight="1" x14ac:dyDescent="0.25">
      <c r="A14" s="53"/>
      <c r="B14" s="53"/>
      <c r="C14" s="53"/>
      <c r="D14" s="53"/>
    </row>
    <row r="15" spans="1:4" ht="15" customHeight="1" x14ac:dyDescent="0.25">
      <c r="A15" s="53"/>
      <c r="B15" s="53"/>
      <c r="C15" s="53"/>
      <c r="D15" s="53"/>
    </row>
    <row r="16" spans="1:4" ht="15" customHeight="1" x14ac:dyDescent="0.25">
      <c r="A16" s="53"/>
      <c r="B16" s="53"/>
      <c r="C16" s="53"/>
      <c r="D16" s="53"/>
    </row>
    <row r="17" spans="1:5" ht="15" customHeight="1" x14ac:dyDescent="0.25">
      <c r="A17" s="53"/>
      <c r="B17" s="53"/>
      <c r="C17" s="53"/>
      <c r="D17" s="53"/>
    </row>
    <row r="18" spans="1:5" ht="15" customHeight="1" x14ac:dyDescent="0.25">
      <c r="A18" s="53"/>
      <c r="B18" s="53"/>
      <c r="C18" s="53"/>
      <c r="D18" s="53"/>
    </row>
    <row r="19" spans="1:5" ht="15" customHeight="1" x14ac:dyDescent="0.25">
      <c r="A19" s="53"/>
      <c r="B19" s="53"/>
      <c r="C19" s="53"/>
      <c r="D19" s="53"/>
    </row>
    <row r="20" spans="1:5" ht="15" customHeight="1" x14ac:dyDescent="0.25">
      <c r="A20" s="53"/>
      <c r="B20" s="53"/>
      <c r="C20" s="53"/>
      <c r="D20" s="53"/>
    </row>
    <row r="21" spans="1:5" ht="15" customHeight="1" x14ac:dyDescent="0.25">
      <c r="A21" s="14"/>
      <c r="B21" s="14"/>
      <c r="C21" s="14"/>
      <c r="D21" s="14"/>
    </row>
    <row r="22" spans="1:5" ht="15" customHeight="1" x14ac:dyDescent="0.25">
      <c r="A22" s="14"/>
      <c r="B22" s="14"/>
      <c r="C22" s="14"/>
      <c r="D22" s="14"/>
    </row>
    <row r="23" spans="1:5" ht="21.75" customHeight="1" x14ac:dyDescent="0.25">
      <c r="A23" s="52" t="s">
        <v>414</v>
      </c>
      <c r="B23" s="52"/>
      <c r="C23" s="52"/>
      <c r="D23" s="52"/>
    </row>
    <row r="24" spans="1:5" ht="23.25" customHeight="1" x14ac:dyDescent="0.25">
      <c r="A24" s="24" t="s">
        <v>335</v>
      </c>
      <c r="B24" s="25">
        <f>COUNTIF(B30:B186,"❌")</f>
        <v>0</v>
      </c>
      <c r="C24" s="26" t="str">
        <f>IF(B24&gt;30,"🔴 EXTREM technisch",IF(B24&gt;20,"🔴 SEHR technisch",IF(B24&gt;10,"🟡 Zu viele Fachbegriffe",IF(B24&gt;5,"🟠 Verbesserbar","🟢 Kundenorientiert"))))</f>
        <v>🟢 Kundenorientiert</v>
      </c>
      <c r="D24" s="27"/>
    </row>
    <row r="25" spans="1:5" ht="16.5" customHeight="1" x14ac:dyDescent="0.25">
      <c r="A25" s="24"/>
      <c r="B25" s="28"/>
      <c r="C25" s="26"/>
      <c r="D25" s="27"/>
    </row>
    <row r="26" spans="1:5" ht="16.5" customHeight="1" x14ac:dyDescent="0.25">
      <c r="A26" s="23"/>
      <c r="C26" s="22"/>
      <c r="D26" s="14"/>
    </row>
    <row r="27" spans="1:5" ht="25.5" customHeight="1" x14ac:dyDescent="0.25">
      <c r="A27" s="29" t="s">
        <v>415</v>
      </c>
      <c r="B27" s="29"/>
      <c r="C27" s="29"/>
      <c r="D27" s="29"/>
    </row>
    <row r="28" spans="1:5" ht="15" customHeight="1" x14ac:dyDescent="0.25">
      <c r="A28" s="31"/>
      <c r="B28" s="14"/>
      <c r="C28" s="14"/>
      <c r="D28" s="14"/>
    </row>
    <row r="29" spans="1:5" ht="24.75" customHeight="1" x14ac:dyDescent="0.25">
      <c r="A29" s="32" t="s">
        <v>20</v>
      </c>
      <c r="B29" s="30" t="s">
        <v>355</v>
      </c>
      <c r="C29" s="49" t="s">
        <v>21</v>
      </c>
      <c r="D29" s="50"/>
      <c r="E29" s="36"/>
    </row>
    <row r="30" spans="1:5" ht="15" customHeight="1" x14ac:dyDescent="0.25">
      <c r="A30" s="33" t="s">
        <v>22</v>
      </c>
      <c r="B30" s="17" t="str">
        <f>IF(ISNUMBER(SEARCH("Kick-off",A6)),"❌","")</f>
        <v/>
      </c>
      <c r="C30" s="34" t="s">
        <v>23</v>
      </c>
      <c r="D30" s="35"/>
    </row>
    <row r="31" spans="1:5" ht="15" customHeight="1" x14ac:dyDescent="0.25">
      <c r="A31" s="16" t="s">
        <v>24</v>
      </c>
      <c r="B31" s="17" t="str">
        <f>IF(ISNUMBER(SEARCH("Milestone",A6)),"❌","")</f>
        <v/>
      </c>
      <c r="C31" s="18" t="s">
        <v>25</v>
      </c>
      <c r="D31" s="14"/>
    </row>
    <row r="32" spans="1:5" ht="15" customHeight="1" x14ac:dyDescent="0.25">
      <c r="A32" s="16" t="s">
        <v>26</v>
      </c>
      <c r="B32" s="19" t="str">
        <f>IF(ISNUMBER(SEARCH("Scope",A6)),"❌","")</f>
        <v/>
      </c>
      <c r="C32" s="18" t="s">
        <v>27</v>
      </c>
      <c r="D32" s="19"/>
    </row>
    <row r="33" spans="1:4" ht="15" customHeight="1" x14ac:dyDescent="0.25">
      <c r="A33" s="16" t="s">
        <v>28</v>
      </c>
      <c r="B33" s="19" t="str">
        <f>IF(ISNUMBER(SEARCH("Change Request",A6)),"❌","")</f>
        <v/>
      </c>
      <c r="C33" s="18" t="s">
        <v>29</v>
      </c>
      <c r="D33" s="19"/>
    </row>
    <row r="34" spans="1:4" ht="15" customHeight="1" x14ac:dyDescent="0.25">
      <c r="A34" s="16" t="s">
        <v>30</v>
      </c>
      <c r="B34" s="19" t="str">
        <f>IF(ISNUMBER(SEARCH("Deadline",A6)),"❌","")</f>
        <v/>
      </c>
      <c r="C34" s="18" t="s">
        <v>31</v>
      </c>
      <c r="D34" s="19"/>
    </row>
    <row r="35" spans="1:4" ht="15" customHeight="1" x14ac:dyDescent="0.25">
      <c r="A35" s="16" t="s">
        <v>32</v>
      </c>
      <c r="B35" s="19" t="str">
        <f>IF(ISNUMBER(SEARCH("Deliverable",A6)),"❌","")</f>
        <v/>
      </c>
      <c r="C35" s="18" t="s">
        <v>33</v>
      </c>
      <c r="D35" s="19"/>
    </row>
    <row r="36" spans="1:4" ht="15" customHeight="1" x14ac:dyDescent="0.25">
      <c r="A36" s="16" t="s">
        <v>34</v>
      </c>
      <c r="B36" s="19" t="str">
        <f>IF(ISNUMBER(SEARCH("Rollout",A6)),"❌","")</f>
        <v/>
      </c>
      <c r="C36" s="18" t="s">
        <v>35</v>
      </c>
      <c r="D36" s="19"/>
    </row>
    <row r="37" spans="1:4" ht="15" customHeight="1" x14ac:dyDescent="0.25">
      <c r="A37" s="16" t="s">
        <v>36</v>
      </c>
      <c r="B37" s="19" t="str">
        <f>IF(ISNUMBER(SEARCH("Go-Live",A6)),"❌","")</f>
        <v/>
      </c>
      <c r="C37" s="18" t="s">
        <v>37</v>
      </c>
      <c r="D37" s="19"/>
    </row>
    <row r="38" spans="1:4" ht="15" customHeight="1" x14ac:dyDescent="0.25">
      <c r="A38" s="16" t="s">
        <v>38</v>
      </c>
      <c r="B38" s="17" t="str">
        <f>IF(ISNUMBER(SEARCH("Sprint",A6)),"❌","")</f>
        <v/>
      </c>
      <c r="C38" s="18" t="s">
        <v>39</v>
      </c>
      <c r="D38" s="14"/>
    </row>
    <row r="39" spans="1:4" ht="15" customHeight="1" x14ac:dyDescent="0.25">
      <c r="A39" s="16" t="s">
        <v>40</v>
      </c>
      <c r="B39" s="17" t="str">
        <f>IF(ISNUMBER(SEARCH("Backlog",A6)),"❌","")</f>
        <v/>
      </c>
      <c r="C39" s="18" t="s">
        <v>41</v>
      </c>
      <c r="D39" s="14"/>
    </row>
    <row r="40" spans="1:4" ht="15" customHeight="1" x14ac:dyDescent="0.25">
      <c r="A40" s="16" t="s">
        <v>42</v>
      </c>
      <c r="B40" s="17" t="str">
        <f>IF(ISNUMBER(SEARCH("Stakeholder",A6)),"❌","")</f>
        <v/>
      </c>
      <c r="C40" s="18" t="s">
        <v>43</v>
      </c>
      <c r="D40" s="14"/>
    </row>
    <row r="41" spans="1:4" ht="15" customHeight="1" x14ac:dyDescent="0.25">
      <c r="A41" s="16" t="s">
        <v>44</v>
      </c>
      <c r="B41" s="17" t="str">
        <f>IF(ISNUMBER(SEARCH("Meeting",A6)),"❌","")</f>
        <v/>
      </c>
      <c r="C41" s="18" t="s">
        <v>45</v>
      </c>
      <c r="D41" s="14"/>
    </row>
    <row r="42" spans="1:4" ht="15" customHeight="1" x14ac:dyDescent="0.25">
      <c r="A42" s="16" t="s">
        <v>46</v>
      </c>
      <c r="B42" s="17" t="str">
        <f>IF(ISNUMBER(SEARCH("Call",A6)),"❌","")</f>
        <v/>
      </c>
      <c r="C42" s="18" t="s">
        <v>47</v>
      </c>
      <c r="D42" s="14"/>
    </row>
    <row r="43" spans="1:4" ht="15" customHeight="1" x14ac:dyDescent="0.25">
      <c r="A43" s="16" t="s">
        <v>48</v>
      </c>
      <c r="B43" s="17" t="str">
        <f>IF(ISNUMBER(SEARCH("Follow-up",A6)),"❌","")</f>
        <v/>
      </c>
      <c r="C43" s="18" t="s">
        <v>49</v>
      </c>
      <c r="D43" s="14"/>
    </row>
    <row r="44" spans="1:4" ht="15" customHeight="1" x14ac:dyDescent="0.25">
      <c r="A44" s="16" t="s">
        <v>50</v>
      </c>
      <c r="B44" s="17" t="str">
        <f>IF(ISNUMBER(SEARCH("Roadmap",A6)),"❌","")</f>
        <v/>
      </c>
      <c r="C44" s="18" t="s">
        <v>51</v>
      </c>
      <c r="D44" s="14"/>
    </row>
    <row r="45" spans="1:4" ht="15" customHeight="1" x14ac:dyDescent="0.25">
      <c r="A45" s="16" t="s">
        <v>52</v>
      </c>
      <c r="B45" s="17" t="str">
        <f>IF(ISNUMBER(SEARCH("Ticket",A6)),"❌","")</f>
        <v/>
      </c>
      <c r="C45" s="18" t="s">
        <v>53</v>
      </c>
      <c r="D45" s="14"/>
    </row>
    <row r="46" spans="1:4" ht="15" customHeight="1" x14ac:dyDescent="0.25">
      <c r="A46" s="16" t="s">
        <v>54</v>
      </c>
      <c r="B46" s="17" t="str">
        <f>IF(ISNUMBER(SEARCH("Issue",A6)),"❌","")</f>
        <v/>
      </c>
      <c r="C46" s="18" t="s">
        <v>55</v>
      </c>
      <c r="D46" s="14"/>
    </row>
    <row r="47" spans="1:4" ht="15" customHeight="1" x14ac:dyDescent="0.25">
      <c r="A47" s="16" t="s">
        <v>56</v>
      </c>
      <c r="B47" s="17" t="str">
        <f>IF(ISNUMBER(SEARCH("Task",A6)),"❌","")</f>
        <v/>
      </c>
      <c r="C47" s="18" t="s">
        <v>57</v>
      </c>
      <c r="D47" s="14"/>
    </row>
    <row r="48" spans="1:4" ht="15" customHeight="1" x14ac:dyDescent="0.25">
      <c r="A48" s="16" t="s">
        <v>58</v>
      </c>
      <c r="B48" s="17" t="str">
        <f>IF(ISNUMBER(SEARCH("Requirement",A6)),"❌","")</f>
        <v/>
      </c>
      <c r="C48" s="18" t="s">
        <v>59</v>
      </c>
      <c r="D48" s="14"/>
    </row>
    <row r="49" spans="1:4" ht="15" customHeight="1" x14ac:dyDescent="0.25">
      <c r="A49" s="16" t="s">
        <v>60</v>
      </c>
      <c r="B49" s="17" t="str">
        <f>IF(ISNUMBER(SEARCH("Specification",A6)),"❌","")</f>
        <v/>
      </c>
      <c r="C49" s="18" t="s">
        <v>61</v>
      </c>
      <c r="D49" s="14"/>
    </row>
    <row r="50" spans="1:4" ht="15" customHeight="1" x14ac:dyDescent="0.25">
      <c r="A50" s="16" t="s">
        <v>62</v>
      </c>
      <c r="B50" s="17" t="str">
        <f>IF(ISNUMBER(SEARCH("Workshop",A6)),"❌","")</f>
        <v/>
      </c>
      <c r="C50" s="18" t="s">
        <v>63</v>
      </c>
      <c r="D50" s="14"/>
    </row>
    <row r="51" spans="1:4" ht="15" customHeight="1" x14ac:dyDescent="0.25">
      <c r="A51" s="16" t="s">
        <v>64</v>
      </c>
      <c r="B51" s="17" t="str">
        <f>IF(ISNUMBER(SEARCH("Feedback-Loop",A6)),"❌","")</f>
        <v/>
      </c>
      <c r="C51" s="18" t="s">
        <v>65</v>
      </c>
      <c r="D51" s="14"/>
    </row>
    <row r="52" spans="1:4" ht="15" customHeight="1" x14ac:dyDescent="0.25">
      <c r="A52" s="16" t="s">
        <v>66</v>
      </c>
      <c r="B52" s="17" t="str">
        <f>IF(ISNUMBER(SEARCH("Review",A6)),"❌","")</f>
        <v/>
      </c>
      <c r="C52" s="18" t="s">
        <v>67</v>
      </c>
      <c r="D52" s="14"/>
    </row>
    <row r="53" spans="1:4" ht="15" customHeight="1" x14ac:dyDescent="0.25">
      <c r="A53" s="16" t="s">
        <v>68</v>
      </c>
      <c r="B53" s="17" t="str">
        <f>IF(ISNUMBER(SEARCH("Sign-off",A6)),"❌","")</f>
        <v/>
      </c>
      <c r="C53" s="18" t="s">
        <v>69</v>
      </c>
      <c r="D53" s="14"/>
    </row>
    <row r="54" spans="1:4" ht="15" customHeight="1" x14ac:dyDescent="0.25">
      <c r="A54" s="16" t="s">
        <v>70</v>
      </c>
      <c r="B54" s="17" t="str">
        <f>IF(ISNUMBER(SEARCH("Bugfix",A6)),"❌","")</f>
        <v/>
      </c>
      <c r="C54" s="18" t="s">
        <v>71</v>
      </c>
      <c r="D54" s="14"/>
    </row>
    <row r="55" spans="1:4" ht="15" customHeight="1" x14ac:dyDescent="0.25">
      <c r="A55" s="16" t="s">
        <v>72</v>
      </c>
      <c r="B55" s="17" t="str">
        <f>IF(ISNUMBER(SEARCH("Bug",A6)),"❌","")</f>
        <v/>
      </c>
      <c r="C55" s="18" t="s">
        <v>73</v>
      </c>
      <c r="D55" s="14"/>
    </row>
    <row r="56" spans="1:4" ht="15" customHeight="1" x14ac:dyDescent="0.25">
      <c r="A56" s="16" t="s">
        <v>74</v>
      </c>
      <c r="B56" s="17" t="str">
        <f>IF(ISNUMBER(SEARCH("Patch",A6)),"❌","")</f>
        <v/>
      </c>
      <c r="C56" s="18" t="s">
        <v>75</v>
      </c>
      <c r="D56" s="14"/>
    </row>
    <row r="57" spans="1:4" ht="15" customHeight="1" x14ac:dyDescent="0.25">
      <c r="A57" s="16" t="s">
        <v>76</v>
      </c>
      <c r="B57" s="17" t="str">
        <f>IF(ISNUMBER(SEARCH("Release",A6)),"❌","")</f>
        <v/>
      </c>
      <c r="C57" s="18" t="s">
        <v>77</v>
      </c>
      <c r="D57" s="14"/>
    </row>
    <row r="58" spans="1:4" ht="15" customHeight="1" x14ac:dyDescent="0.25">
      <c r="A58" s="16" t="s">
        <v>78</v>
      </c>
      <c r="B58" s="17" t="str">
        <f>IF(ISNUMBER(SEARCH("Update",A6)),"❌","")</f>
        <v/>
      </c>
      <c r="C58" s="18" t="s">
        <v>79</v>
      </c>
      <c r="D58" s="14"/>
    </row>
    <row r="59" spans="1:4" ht="15" customHeight="1" x14ac:dyDescent="0.25">
      <c r="A59" s="16" t="s">
        <v>80</v>
      </c>
      <c r="B59" s="17" t="str">
        <f>IF(ISNUMBER(SEARCH("Upgrade",A6)),"❌","")</f>
        <v/>
      </c>
      <c r="C59" s="18" t="s">
        <v>81</v>
      </c>
      <c r="D59" s="14"/>
    </row>
    <row r="60" spans="1:4" ht="15" customHeight="1" x14ac:dyDescent="0.25">
      <c r="A60" s="16" t="s">
        <v>82</v>
      </c>
      <c r="B60" s="17" t="str">
        <f>IF(ISNUMBER(SEARCH("Hotfix",A6)),"❌","")</f>
        <v/>
      </c>
      <c r="C60" s="18" t="s">
        <v>83</v>
      </c>
      <c r="D60" s="14"/>
    </row>
    <row r="61" spans="1:4" ht="15" customHeight="1" x14ac:dyDescent="0.25">
      <c r="A61" s="16" t="s">
        <v>84</v>
      </c>
      <c r="B61" s="17" t="str">
        <f>IF(ISNUMBER(SEARCH("Feature",A6)),"❌","")</f>
        <v/>
      </c>
      <c r="C61" s="18" t="s">
        <v>85</v>
      </c>
      <c r="D61" s="14"/>
    </row>
    <row r="62" spans="1:4" ht="15" customHeight="1" x14ac:dyDescent="0.25">
      <c r="A62" s="16" t="s">
        <v>86</v>
      </c>
      <c r="B62" s="17" t="str">
        <f>IF(ISNUMBER(SEARCH("Enhancement",A6)),"❌","")</f>
        <v/>
      </c>
      <c r="C62" s="18" t="s">
        <v>87</v>
      </c>
      <c r="D62" s="14"/>
    </row>
    <row r="63" spans="1:4" ht="15" customHeight="1" x14ac:dyDescent="0.25">
      <c r="A63" s="16" t="s">
        <v>88</v>
      </c>
      <c r="B63" s="17" t="str">
        <f>IF(ISNUMBER(SEARCH("Customizing",A6)),"❌","")</f>
        <v/>
      </c>
      <c r="C63" s="18" t="s">
        <v>89</v>
      </c>
      <c r="D63" s="14"/>
    </row>
    <row r="64" spans="1:4" ht="15" customHeight="1" x14ac:dyDescent="0.25">
      <c r="A64" s="16" t="s">
        <v>90</v>
      </c>
      <c r="B64" s="17" t="str">
        <f>IF(ISNUMBER(SEARCH("Plugin",A6)),"❌","")</f>
        <v/>
      </c>
      <c r="C64" s="18" t="s">
        <v>91</v>
      </c>
      <c r="D64" s="14"/>
    </row>
    <row r="65" spans="1:4" ht="15" customHeight="1" x14ac:dyDescent="0.25">
      <c r="A65" s="16" t="s">
        <v>92</v>
      </c>
      <c r="B65" s="17" t="str">
        <f>IF(ISNUMBER(SEARCH("Add-on",A6)),"❌","")</f>
        <v/>
      </c>
      <c r="C65" s="18" t="s">
        <v>93</v>
      </c>
      <c r="D65" s="14"/>
    </row>
    <row r="66" spans="1:4" ht="15" customHeight="1" x14ac:dyDescent="0.25">
      <c r="A66" s="16" t="s">
        <v>94</v>
      </c>
      <c r="B66" s="17" t="str">
        <f>IF(ISNUMBER(SEARCH("Extension",A6)),"❌","")</f>
        <v/>
      </c>
      <c r="C66" s="18" t="s">
        <v>95</v>
      </c>
      <c r="D66" s="14"/>
    </row>
    <row r="67" spans="1:4" ht="15" customHeight="1" x14ac:dyDescent="0.25">
      <c r="A67" s="16" t="s">
        <v>96</v>
      </c>
      <c r="B67" s="17" t="str">
        <f>IF(ISNUMBER(SEARCH("Template",A6)),"❌","")</f>
        <v/>
      </c>
      <c r="C67" s="18" t="s">
        <v>97</v>
      </c>
      <c r="D67" s="14"/>
    </row>
    <row r="68" spans="1:4" ht="15" customHeight="1" x14ac:dyDescent="0.25">
      <c r="A68" s="16" t="s">
        <v>98</v>
      </c>
      <c r="B68" s="17" t="str">
        <f>IF(ISNUMBER(SEARCH("Module",A6)),"❌","")</f>
        <v/>
      </c>
      <c r="C68" s="18" t="s">
        <v>99</v>
      </c>
      <c r="D68" s="14"/>
    </row>
    <row r="69" spans="1:4" ht="15" customHeight="1" x14ac:dyDescent="0.25">
      <c r="A69" s="16" t="s">
        <v>100</v>
      </c>
      <c r="B69" s="17" t="str">
        <f>IF(ISNUMBER(SEARCH("Server",A6)),"❌","")</f>
        <v/>
      </c>
      <c r="C69" s="18" t="s">
        <v>101</v>
      </c>
      <c r="D69" s="14"/>
    </row>
    <row r="70" spans="1:4" ht="15" customHeight="1" x14ac:dyDescent="0.25">
      <c r="A70" s="16" t="s">
        <v>102</v>
      </c>
      <c r="B70" s="17" t="str">
        <f>IF(ISNUMBER(SEARCH("Cloud",A6)),"❌","")</f>
        <v/>
      </c>
      <c r="C70" s="18" t="s">
        <v>103</v>
      </c>
      <c r="D70" s="14"/>
    </row>
    <row r="71" spans="1:4" ht="15" customHeight="1" x14ac:dyDescent="0.25">
      <c r="A71" s="16" t="s">
        <v>104</v>
      </c>
      <c r="B71" s="17" t="str">
        <f>IF(ISNUMBER(SEARCH("On-Premise",A6)),"❌","")</f>
        <v/>
      </c>
      <c r="C71" s="18" t="s">
        <v>105</v>
      </c>
      <c r="D71" s="14"/>
    </row>
    <row r="72" spans="1:4" ht="15" customHeight="1" x14ac:dyDescent="0.25">
      <c r="A72" s="16" t="s">
        <v>106</v>
      </c>
      <c r="B72" s="17" t="str">
        <f>IF(ISNUMBER(SEARCH("Hybrid",A6)),"❌","")</f>
        <v/>
      </c>
      <c r="C72" s="18" t="s">
        <v>107</v>
      </c>
      <c r="D72" s="14"/>
    </row>
    <row r="73" spans="1:4" ht="15" customHeight="1" x14ac:dyDescent="0.25">
      <c r="A73" s="16" t="s">
        <v>108</v>
      </c>
      <c r="B73" s="17" t="str">
        <f>IF(ISNUMBER(SEARCH("Backend",A6)),"❌","")</f>
        <v/>
      </c>
      <c r="C73" s="18" t="s">
        <v>109</v>
      </c>
      <c r="D73" s="14"/>
    </row>
    <row r="74" spans="1:4" ht="15" customHeight="1" x14ac:dyDescent="0.25">
      <c r="A74" s="16" t="s">
        <v>110</v>
      </c>
      <c r="B74" s="17" t="str">
        <f>IF(ISNUMBER(SEARCH("Frontend",A6)),"❌","")</f>
        <v/>
      </c>
      <c r="C74" s="18" t="s">
        <v>111</v>
      </c>
      <c r="D74" s="14"/>
    </row>
    <row r="75" spans="1:4" ht="15" customHeight="1" x14ac:dyDescent="0.25">
      <c r="A75" s="16" t="s">
        <v>112</v>
      </c>
      <c r="B75" s="17" t="str">
        <f>IF(ISNUMBER(SEARCH("Interface",A6)),"❌","")</f>
        <v/>
      </c>
      <c r="C75" s="18" t="s">
        <v>113</v>
      </c>
      <c r="D75" s="14"/>
    </row>
    <row r="76" spans="1:4" ht="15" customHeight="1" x14ac:dyDescent="0.25">
      <c r="A76" s="16" t="s">
        <v>114</v>
      </c>
      <c r="B76" s="17" t="str">
        <f>IF(ISNUMBER(SEARCH("API",A6)),"❌","")</f>
        <v/>
      </c>
      <c r="C76" s="18" t="s">
        <v>115</v>
      </c>
      <c r="D76" s="14"/>
    </row>
    <row r="77" spans="1:4" ht="15" customHeight="1" x14ac:dyDescent="0.25">
      <c r="A77" s="16" t="s">
        <v>116</v>
      </c>
      <c r="B77" s="17" t="str">
        <f>IF(ISNUMBER(SEARCH("Integration",A6)),"❌","")</f>
        <v/>
      </c>
      <c r="C77" s="18" t="s">
        <v>117</v>
      </c>
      <c r="D77" s="14"/>
    </row>
    <row r="78" spans="1:4" ht="15" customHeight="1" x14ac:dyDescent="0.25">
      <c r="A78" s="16" t="s">
        <v>118</v>
      </c>
      <c r="B78" s="17" t="str">
        <f>IF(ISNUMBER(SEARCH("Migration",A6)),"❌","")</f>
        <v/>
      </c>
      <c r="C78" s="18" t="s">
        <v>119</v>
      </c>
      <c r="D78" s="14"/>
    </row>
    <row r="79" spans="1:4" x14ac:dyDescent="0.25">
      <c r="A79" s="16" t="s">
        <v>120</v>
      </c>
      <c r="B79" s="17" t="str">
        <f>IF(ISNUMBER(SEARCH("Import",A6)),"❌","")</f>
        <v/>
      </c>
      <c r="C79" s="18" t="s">
        <v>121</v>
      </c>
      <c r="D79" s="14"/>
    </row>
    <row r="80" spans="1:4" ht="17.25" customHeight="1" x14ac:dyDescent="0.25">
      <c r="A80" s="16" t="s">
        <v>122</v>
      </c>
      <c r="B80" s="17" t="str">
        <f>IF(ISNUMBER(SEARCH("Export",A6)),"❌","")</f>
        <v/>
      </c>
      <c r="C80" s="18" t="s">
        <v>123</v>
      </c>
      <c r="D80" s="14"/>
    </row>
    <row r="81" spans="1:4" x14ac:dyDescent="0.25">
      <c r="A81" s="16" t="s">
        <v>124</v>
      </c>
      <c r="B81" s="17" t="str">
        <f>IF(ISNUMBER(SEARCH("Sync",A6)),"❌","")</f>
        <v/>
      </c>
      <c r="C81" s="18" t="s">
        <v>125</v>
      </c>
      <c r="D81" s="14"/>
    </row>
    <row r="82" spans="1:4" ht="15" customHeight="1" x14ac:dyDescent="0.25">
      <c r="A82" s="16" t="s">
        <v>126</v>
      </c>
      <c r="B82" s="17" t="str">
        <f>IF(ISNUMBER(SEARCH("Backup",A6)),"❌","")</f>
        <v/>
      </c>
      <c r="C82" s="18" t="s">
        <v>127</v>
      </c>
      <c r="D82" s="14"/>
    </row>
    <row r="83" spans="1:4" x14ac:dyDescent="0.25">
      <c r="A83" s="16" t="s">
        <v>128</v>
      </c>
      <c r="B83" s="17" t="str">
        <f>IF(ISNUMBER(SEARCH("Recovery",A6)),"❌","")</f>
        <v/>
      </c>
      <c r="C83" s="18" t="s">
        <v>129</v>
      </c>
      <c r="D83" s="14"/>
    </row>
    <row r="84" spans="1:4" x14ac:dyDescent="0.25">
      <c r="A84" s="16" t="s">
        <v>130</v>
      </c>
      <c r="B84" s="17" t="str">
        <f>IF(ISNUMBER(SEARCH("Downtime",A6)),"❌","")</f>
        <v/>
      </c>
      <c r="C84" s="18" t="s">
        <v>131</v>
      </c>
      <c r="D84" s="14"/>
    </row>
    <row r="85" spans="1:4" x14ac:dyDescent="0.25">
      <c r="A85" s="16" t="s">
        <v>132</v>
      </c>
      <c r="B85" s="17" t="str">
        <f>IF(ISNUMBER(SEARCH("Uptime",A6)),"❌","")</f>
        <v/>
      </c>
      <c r="C85" s="18" t="s">
        <v>133</v>
      </c>
      <c r="D85" s="14"/>
    </row>
    <row r="86" spans="1:4" x14ac:dyDescent="0.25">
      <c r="A86" s="16" t="s">
        <v>134</v>
      </c>
      <c r="B86" s="17" t="str">
        <f>IF(ISNUMBER(SEARCH("Performance",A6)),"❌","")</f>
        <v/>
      </c>
      <c r="C86" s="18" t="s">
        <v>135</v>
      </c>
      <c r="D86" s="14"/>
    </row>
    <row r="87" spans="1:4" x14ac:dyDescent="0.25">
      <c r="A87" s="16" t="s">
        <v>136</v>
      </c>
      <c r="B87" s="17" t="str">
        <f>IF(ISNUMBER(SEARCH("Latency",A6)),"❌","")</f>
        <v/>
      </c>
      <c r="C87" s="18" t="s">
        <v>137</v>
      </c>
      <c r="D87" s="14"/>
    </row>
    <row r="88" spans="1:4" x14ac:dyDescent="0.25">
      <c r="A88" s="16" t="s">
        <v>138</v>
      </c>
      <c r="B88" s="17" t="str">
        <f>IF(ISNUMBER(SEARCH("Response Time",A6)),"❌","")</f>
        <v/>
      </c>
      <c r="C88" s="18" t="s">
        <v>139</v>
      </c>
      <c r="D88" s="14"/>
    </row>
    <row r="89" spans="1:4" x14ac:dyDescent="0.25">
      <c r="A89" s="16" t="s">
        <v>140</v>
      </c>
      <c r="B89" s="17" t="str">
        <f>IF(ISNUMBER(SEARCH("Throughput",A6)),"❌","")</f>
        <v/>
      </c>
      <c r="C89" s="18" t="s">
        <v>141</v>
      </c>
      <c r="D89" s="14"/>
    </row>
    <row r="90" spans="1:4" x14ac:dyDescent="0.25">
      <c r="A90" s="16" t="s">
        <v>142</v>
      </c>
      <c r="B90" s="17" t="str">
        <f>IF(ISNUMBER(SEARCH("Bottleneck",A6)),"❌","")</f>
        <v/>
      </c>
      <c r="C90" s="18" t="s">
        <v>143</v>
      </c>
      <c r="D90" s="14"/>
    </row>
    <row r="91" spans="1:4" x14ac:dyDescent="0.25">
      <c r="A91" s="16" t="s">
        <v>144</v>
      </c>
      <c r="B91" s="17" t="str">
        <f>IF(ISNUMBER(SEARCH("Optimization",A6)),"❌","")</f>
        <v/>
      </c>
      <c r="C91" s="18" t="s">
        <v>145</v>
      </c>
      <c r="D91" s="14"/>
    </row>
    <row r="92" spans="1:4" x14ac:dyDescent="0.25">
      <c r="A92" s="16" t="s">
        <v>146</v>
      </c>
      <c r="B92" s="17" t="str">
        <f>IF(ISNUMBER(SEARCH("Load",A6)),"❌","")</f>
        <v/>
      </c>
      <c r="C92" s="18" t="s">
        <v>147</v>
      </c>
      <c r="D92" s="14"/>
    </row>
    <row r="93" spans="1:4" x14ac:dyDescent="0.25">
      <c r="A93" s="16" t="s">
        <v>148</v>
      </c>
      <c r="B93" s="17" t="str">
        <f>IF(ISNUMBER(SEARCH("Capacity",A6)),"❌","")</f>
        <v/>
      </c>
      <c r="C93" s="18" t="s">
        <v>149</v>
      </c>
      <c r="D93" s="14"/>
    </row>
    <row r="94" spans="1:4" x14ac:dyDescent="0.25">
      <c r="A94" s="16" t="s">
        <v>150</v>
      </c>
      <c r="B94" s="17" t="str">
        <f>IF(ISNUMBER(SEARCH("Scalability",A6)),"❌","")</f>
        <v/>
      </c>
      <c r="C94" s="18" t="s">
        <v>151</v>
      </c>
      <c r="D94" s="14"/>
    </row>
    <row r="95" spans="1:4" x14ac:dyDescent="0.25">
      <c r="A95" s="16" t="s">
        <v>152</v>
      </c>
      <c r="B95" s="17" t="str">
        <f>IF(ISNUMBER(SEARCH("Monitoring",A6)),"❌","")</f>
        <v/>
      </c>
      <c r="C95" s="18" t="s">
        <v>153</v>
      </c>
      <c r="D95" s="14"/>
    </row>
    <row r="96" spans="1:4" x14ac:dyDescent="0.25">
      <c r="A96" s="16" t="s">
        <v>154</v>
      </c>
      <c r="B96" s="17" t="str">
        <f>IF(ISNUMBER(SEARCH("Alert",A6)),"❌","")</f>
        <v/>
      </c>
      <c r="C96" s="18" t="s">
        <v>155</v>
      </c>
      <c r="D96" s="14"/>
    </row>
    <row r="97" spans="1:4" x14ac:dyDescent="0.25">
      <c r="A97" s="16" t="s">
        <v>156</v>
      </c>
      <c r="B97" s="17" t="str">
        <f>IF(ISNUMBER(SEARCH("Log",A6)),"❌","")</f>
        <v/>
      </c>
      <c r="C97" s="18" t="s">
        <v>157</v>
      </c>
      <c r="D97" s="14"/>
    </row>
    <row r="98" spans="1:4" x14ac:dyDescent="0.25">
      <c r="A98" s="16" t="s">
        <v>158</v>
      </c>
      <c r="B98" s="17" t="str">
        <f>IF(ISNUMBER(SEARCH("Security",A6)),"❌","")</f>
        <v/>
      </c>
      <c r="C98" s="18" t="s">
        <v>159</v>
      </c>
      <c r="D98" s="14"/>
    </row>
    <row r="99" spans="1:4" x14ac:dyDescent="0.25">
      <c r="A99" s="16" t="s">
        <v>160</v>
      </c>
      <c r="B99" s="17" t="str">
        <f>IF(ISNUMBER(SEARCH("Authentication",A6)),"❌","")</f>
        <v/>
      </c>
      <c r="C99" s="18" t="s">
        <v>161</v>
      </c>
      <c r="D99" s="14"/>
    </row>
    <row r="100" spans="1:4" x14ac:dyDescent="0.25">
      <c r="A100" s="16" t="s">
        <v>162</v>
      </c>
      <c r="B100" s="17" t="str">
        <f>IF(ISNUMBER(SEARCH("Authorization",A6)),"❌","")</f>
        <v/>
      </c>
      <c r="C100" s="18" t="s">
        <v>163</v>
      </c>
      <c r="D100" s="14"/>
    </row>
    <row r="101" spans="1:4" x14ac:dyDescent="0.25">
      <c r="A101" s="16" t="s">
        <v>164</v>
      </c>
      <c r="B101" s="17" t="str">
        <f>IF(ISNUMBER(SEARCH("Encryption",A6)),"❌","")</f>
        <v/>
      </c>
      <c r="C101" s="18" t="s">
        <v>165</v>
      </c>
      <c r="D101" s="14"/>
    </row>
    <row r="102" spans="1:4" x14ac:dyDescent="0.25">
      <c r="A102" s="16" t="s">
        <v>166</v>
      </c>
      <c r="B102" s="17" t="str">
        <f>IF(ISNUMBER(SEARCH("SSL/TLS",A6)),"❌","")</f>
        <v/>
      </c>
      <c r="C102" s="18" t="s">
        <v>167</v>
      </c>
      <c r="D102" s="14"/>
    </row>
    <row r="103" spans="1:4" x14ac:dyDescent="0.25">
      <c r="A103" s="16" t="s">
        <v>168</v>
      </c>
      <c r="B103" s="17" t="str">
        <f>IF(ISNUMBER(SEARCH("Firewall",A6)),"❌","")</f>
        <v/>
      </c>
      <c r="C103" s="18" t="s">
        <v>169</v>
      </c>
      <c r="D103" s="14"/>
    </row>
    <row r="104" spans="1:4" x14ac:dyDescent="0.25">
      <c r="A104" s="16" t="s">
        <v>170</v>
      </c>
      <c r="B104" s="17" t="str">
        <f>IF(ISNUMBER(SEARCH("Vulnerability",A6)),"❌","")</f>
        <v/>
      </c>
      <c r="C104" s="18" t="s">
        <v>171</v>
      </c>
      <c r="D104" s="14"/>
    </row>
    <row r="105" spans="1:4" x14ac:dyDescent="0.25">
      <c r="A105" s="16" t="s">
        <v>172</v>
      </c>
      <c r="B105" s="17" t="str">
        <f>IF(ISNUMBER(SEARCH("Compliance",A6)),"❌","")</f>
        <v/>
      </c>
      <c r="C105" s="18" t="s">
        <v>173</v>
      </c>
      <c r="D105" s="14"/>
    </row>
    <row r="106" spans="1:4" x14ac:dyDescent="0.25">
      <c r="A106" s="16" t="s">
        <v>174</v>
      </c>
      <c r="B106" s="17" t="str">
        <f>IF(ISNUMBER(SEARCH("GDPR/DSGVO",A6)),"❌","")</f>
        <v/>
      </c>
      <c r="C106" s="18" t="s">
        <v>175</v>
      </c>
      <c r="D106" s="14"/>
    </row>
    <row r="107" spans="1:4" x14ac:dyDescent="0.25">
      <c r="A107" s="16" t="s">
        <v>176</v>
      </c>
      <c r="B107" s="17" t="str">
        <f>IF(ISNUMBER(SEARCH("Audit",A6)),"❌","")</f>
        <v/>
      </c>
      <c r="C107" s="18" t="s">
        <v>177</v>
      </c>
      <c r="D107" s="14"/>
    </row>
    <row r="108" spans="1:4" x14ac:dyDescent="0.25">
      <c r="A108" s="16" t="s">
        <v>178</v>
      </c>
      <c r="B108" s="17" t="str">
        <f>IF(ISNUMBER(SEARCH("Access Control",A6)),"❌","")</f>
        <v/>
      </c>
      <c r="C108" s="18" t="s">
        <v>179</v>
      </c>
      <c r="D108" s="14"/>
    </row>
    <row r="109" spans="1:4" x14ac:dyDescent="0.25">
      <c r="A109" s="16" t="s">
        <v>180</v>
      </c>
      <c r="B109" s="17" t="str">
        <f>IF(ISNUMBER(SEARCH("Database",A6)),"❌","")</f>
        <v/>
      </c>
      <c r="C109" s="18" t="s">
        <v>181</v>
      </c>
      <c r="D109" s="14"/>
    </row>
    <row r="110" spans="1:4" x14ac:dyDescent="0.25">
      <c r="A110" s="16" t="s">
        <v>182</v>
      </c>
      <c r="B110" s="17" t="str">
        <f>IF(ISNUMBER(SEARCH("Query",A6)),"❌","")</f>
        <v/>
      </c>
      <c r="C110" s="18" t="s">
        <v>183</v>
      </c>
      <c r="D110" s="14"/>
    </row>
    <row r="111" spans="1:4" x14ac:dyDescent="0.25">
      <c r="A111" s="16" t="s">
        <v>184</v>
      </c>
      <c r="B111" s="17" t="str">
        <f>IF(ISNUMBER(SEARCH("Dataset",A6)),"❌","")</f>
        <v/>
      </c>
      <c r="C111" s="18" t="s">
        <v>185</v>
      </c>
      <c r="D111" s="14"/>
    </row>
    <row r="112" spans="1:4" x14ac:dyDescent="0.25">
      <c r="A112" s="16" t="s">
        <v>186</v>
      </c>
      <c r="B112" s="17" t="str">
        <f>IF(ISNUMBER(SEARCH("Data Lake",A6)),"❌","")</f>
        <v/>
      </c>
      <c r="C112" s="18" t="s">
        <v>187</v>
      </c>
      <c r="D112" s="14"/>
    </row>
    <row r="113" spans="1:4" x14ac:dyDescent="0.25">
      <c r="A113" s="16" t="s">
        <v>188</v>
      </c>
      <c r="B113" s="17" t="str">
        <f>IF(ISNUMBER(SEARCH("Data Warehouse",A6)),"❌","")</f>
        <v/>
      </c>
      <c r="C113" s="18" t="s">
        <v>189</v>
      </c>
      <c r="D113" s="14"/>
    </row>
    <row r="114" spans="1:4" x14ac:dyDescent="0.25">
      <c r="A114" s="16" t="s">
        <v>190</v>
      </c>
      <c r="B114" s="17" t="str">
        <f>IF(ISNUMBER(SEARCH("ETL",A6)),"❌","")</f>
        <v/>
      </c>
      <c r="C114" s="18" t="s">
        <v>191</v>
      </c>
      <c r="D114" s="14"/>
    </row>
    <row r="115" spans="1:4" x14ac:dyDescent="0.25">
      <c r="A115" s="16" t="s">
        <v>192</v>
      </c>
      <c r="B115" s="17" t="str">
        <f>IF(ISNUMBER(SEARCH("Business Intelligence",A6)),"❌","")</f>
        <v/>
      </c>
      <c r="C115" s="18" t="s">
        <v>193</v>
      </c>
      <c r="D115" s="14"/>
    </row>
    <row r="116" spans="1:4" x14ac:dyDescent="0.25">
      <c r="A116" s="16" t="s">
        <v>194</v>
      </c>
      <c r="B116" s="17" t="str">
        <f>IF(ISNUMBER(SEARCH("BI",A6)),"❌","")</f>
        <v/>
      </c>
      <c r="C116" s="18" t="s">
        <v>195</v>
      </c>
      <c r="D116" s="14"/>
    </row>
    <row r="117" spans="1:4" x14ac:dyDescent="0.25">
      <c r="A117" s="16" t="s">
        <v>196</v>
      </c>
      <c r="B117" s="17" t="str">
        <f>IF(ISNUMBER(SEARCH("Dashboard",A6)),"❌","")</f>
        <v/>
      </c>
      <c r="C117" s="18" t="s">
        <v>197</v>
      </c>
      <c r="D117" s="14"/>
    </row>
    <row r="118" spans="1:4" x14ac:dyDescent="0.25">
      <c r="A118" s="16" t="s">
        <v>198</v>
      </c>
      <c r="B118" s="17" t="str">
        <f>IF(ISNUMBER(SEARCH("Report",A6)),"❌","")</f>
        <v/>
      </c>
      <c r="C118" s="18" t="s">
        <v>199</v>
      </c>
      <c r="D118" s="14"/>
    </row>
    <row r="119" spans="1:4" x14ac:dyDescent="0.25">
      <c r="A119" s="16" t="s">
        <v>200</v>
      </c>
      <c r="B119" s="17" t="str">
        <f>IF(ISNUMBER(SEARCH("Analytics",A6)),"❌","")</f>
        <v/>
      </c>
      <c r="C119" s="18" t="s">
        <v>201</v>
      </c>
      <c r="D119" s="14"/>
    </row>
    <row r="120" spans="1:4" x14ac:dyDescent="0.25">
      <c r="A120" s="16" t="s">
        <v>202</v>
      </c>
      <c r="B120" s="17" t="str">
        <f>IF(ISNUMBER(SEARCH("KPI",A6)),"❌","")</f>
        <v/>
      </c>
      <c r="C120" s="18" t="s">
        <v>203</v>
      </c>
      <c r="D120" s="14"/>
    </row>
    <row r="121" spans="1:4" x14ac:dyDescent="0.25">
      <c r="A121" s="16" t="s">
        <v>204</v>
      </c>
      <c r="B121" s="17" t="str">
        <f>IF(ISNUMBER(SEARCH("Metric",A6)),"❌","")</f>
        <v/>
      </c>
      <c r="C121" s="18" t="s">
        <v>205</v>
      </c>
      <c r="D121" s="14"/>
    </row>
    <row r="122" spans="1:4" x14ac:dyDescent="0.25">
      <c r="A122" s="16" t="s">
        <v>206</v>
      </c>
      <c r="B122" s="17" t="str">
        <f>IF(ISNUMBER(SEARCH("Architecture",A6)),"❌","")</f>
        <v/>
      </c>
      <c r="C122" s="18" t="s">
        <v>207</v>
      </c>
      <c r="D122" s="14"/>
    </row>
    <row r="123" spans="1:4" x14ac:dyDescent="0.25">
      <c r="A123" s="16" t="s">
        <v>208</v>
      </c>
      <c r="B123" s="17" t="str">
        <f>IF(ISNUMBER(SEARCH("Infrastructure",A6)),"❌","")</f>
        <v/>
      </c>
      <c r="C123" s="18" t="s">
        <v>209</v>
      </c>
      <c r="D123" s="14"/>
    </row>
    <row r="124" spans="1:4" x14ac:dyDescent="0.25">
      <c r="A124" s="16" t="s">
        <v>210</v>
      </c>
      <c r="B124" s="17" t="str">
        <f>IF(ISNUMBER(SEARCH("Platform",A6)),"❌","")</f>
        <v/>
      </c>
      <c r="C124" s="18" t="s">
        <v>211</v>
      </c>
      <c r="D124" s="14"/>
    </row>
    <row r="125" spans="1:4" x14ac:dyDescent="0.25">
      <c r="A125" s="16" t="s">
        <v>212</v>
      </c>
      <c r="B125" s="17" t="str">
        <f>IF(ISNUMBER(SEARCH("Environment",A6)),"❌","")</f>
        <v/>
      </c>
      <c r="C125" s="18" t="s">
        <v>213</v>
      </c>
      <c r="D125" s="14"/>
    </row>
    <row r="126" spans="1:4" x14ac:dyDescent="0.25">
      <c r="A126" s="16" t="s">
        <v>214</v>
      </c>
      <c r="B126" s="17" t="str">
        <f>IF(ISNUMBER(SEARCH("Production",A6)),"❌","")</f>
        <v/>
      </c>
      <c r="C126" s="18" t="s">
        <v>215</v>
      </c>
      <c r="D126" s="14"/>
    </row>
    <row r="127" spans="1:4" x14ac:dyDescent="0.25">
      <c r="A127" s="16" t="s">
        <v>216</v>
      </c>
      <c r="B127" s="17" t="str">
        <f>IF(ISNUMBER(SEARCH("Staging",A6)),"❌","")</f>
        <v/>
      </c>
      <c r="C127" s="18" t="s">
        <v>217</v>
      </c>
      <c r="D127" s="14"/>
    </row>
    <row r="128" spans="1:4" x14ac:dyDescent="0.25">
      <c r="A128" s="16" t="s">
        <v>218</v>
      </c>
      <c r="B128" s="17" t="str">
        <f>IF(ISNUMBER(SEARCH("Development",A6)),"❌","")</f>
        <v/>
      </c>
      <c r="C128" s="18" t="s">
        <v>219</v>
      </c>
      <c r="D128" s="14"/>
    </row>
    <row r="129" spans="1:4" x14ac:dyDescent="0.25">
      <c r="A129" s="16" t="s">
        <v>220</v>
      </c>
      <c r="B129" s="17" t="str">
        <f>IF(ISNUMBER(SEARCH("Sandbox",A6)),"❌","")</f>
        <v/>
      </c>
      <c r="C129" s="18" t="s">
        <v>221</v>
      </c>
      <c r="D129" s="14"/>
    </row>
    <row r="130" spans="1:4" x14ac:dyDescent="0.25">
      <c r="A130" s="16" t="s">
        <v>222</v>
      </c>
      <c r="B130" s="17" t="str">
        <f>IF(ISNUMBER(SEARCH("Cluster",A6)),"❌","")</f>
        <v/>
      </c>
      <c r="C130" s="18" t="s">
        <v>223</v>
      </c>
      <c r="D130" s="14"/>
    </row>
    <row r="131" spans="1:4" x14ac:dyDescent="0.25">
      <c r="A131" s="16" t="s">
        <v>224</v>
      </c>
      <c r="B131" s="17" t="str">
        <f>IF(ISNUMBER(SEARCH("Node",A6)),"❌","")</f>
        <v/>
      </c>
      <c r="C131" s="18" t="s">
        <v>225</v>
      </c>
      <c r="D131" s="14"/>
    </row>
    <row r="132" spans="1:4" x14ac:dyDescent="0.25">
      <c r="A132" s="16" t="s">
        <v>226</v>
      </c>
      <c r="B132" s="17" t="str">
        <f>IF(ISNUMBER(SEARCH("Load Balancer",A6)),"❌","")</f>
        <v/>
      </c>
      <c r="C132" s="18" t="s">
        <v>227</v>
      </c>
      <c r="D132" s="14"/>
    </row>
    <row r="133" spans="1:4" x14ac:dyDescent="0.25">
      <c r="A133" s="16" t="s">
        <v>228</v>
      </c>
      <c r="B133" s="17" t="str">
        <f>IF(ISNUMBER(SEARCH("Agile",A6)),"❌","")</f>
        <v/>
      </c>
      <c r="C133" s="18" t="s">
        <v>229</v>
      </c>
      <c r="D133" s="14"/>
    </row>
    <row r="134" spans="1:4" x14ac:dyDescent="0.25">
      <c r="A134" s="16" t="s">
        <v>230</v>
      </c>
      <c r="B134" s="17" t="str">
        <f>IF(ISNUMBER(SEARCH("Scrum",A6)),"❌","")</f>
        <v/>
      </c>
      <c r="C134" s="18" t="s">
        <v>231</v>
      </c>
      <c r="D134" s="14"/>
    </row>
    <row r="135" spans="1:4" x14ac:dyDescent="0.25">
      <c r="A135" s="16" t="s">
        <v>232</v>
      </c>
      <c r="B135" s="17" t="str">
        <f>IF(ISNUMBER(SEARCH("Waterfall",A6)),"❌","")</f>
        <v/>
      </c>
      <c r="C135" s="18" t="s">
        <v>233</v>
      </c>
      <c r="D135" s="14"/>
    </row>
    <row r="136" spans="1:4" x14ac:dyDescent="0.25">
      <c r="A136" s="16" t="s">
        <v>234</v>
      </c>
      <c r="B136" s="17" t="str">
        <f>IF(ISNUMBER(SEARCH("CI/CD",A6)),"❌","")</f>
        <v/>
      </c>
      <c r="C136" s="18" t="s">
        <v>235</v>
      </c>
      <c r="D136" s="14"/>
    </row>
    <row r="137" spans="1:4" x14ac:dyDescent="0.25">
      <c r="A137" s="16" t="s">
        <v>236</v>
      </c>
      <c r="B137" s="17" t="str">
        <f>IF(ISNUMBER(SEARCH("DevOps",A6)),"❌","")</f>
        <v/>
      </c>
      <c r="C137" s="18" t="s">
        <v>237</v>
      </c>
      <c r="D137" s="14"/>
    </row>
    <row r="138" spans="1:4" x14ac:dyDescent="0.25">
      <c r="A138" s="16" t="s">
        <v>238</v>
      </c>
      <c r="B138" s="17" t="str">
        <f>IF(ISNUMBER(SEARCH("Testing",A6)),"❌","")</f>
        <v/>
      </c>
      <c r="C138" s="18" t="s">
        <v>239</v>
      </c>
      <c r="D138" s="14"/>
    </row>
    <row r="139" spans="1:4" x14ac:dyDescent="0.25">
      <c r="A139" s="16" t="s">
        <v>240</v>
      </c>
      <c r="B139" s="17" t="str">
        <f>IF(ISNUMBER(SEARCH("QA",A6)),"❌","")</f>
        <v/>
      </c>
      <c r="C139" s="18" t="s">
        <v>241</v>
      </c>
      <c r="D139" s="14"/>
    </row>
    <row r="140" spans="1:4" x14ac:dyDescent="0.25">
      <c r="A140" s="16" t="s">
        <v>242</v>
      </c>
      <c r="B140" s="17" t="str">
        <f>IF(ISNUMBER(SEARCH("Deployment",A6)),"❌","")</f>
        <v/>
      </c>
      <c r="C140" s="18" t="s">
        <v>243</v>
      </c>
      <c r="D140" s="14"/>
    </row>
    <row r="141" spans="1:4" x14ac:dyDescent="0.25">
      <c r="A141" s="16" t="s">
        <v>244</v>
      </c>
      <c r="B141" s="17" t="str">
        <f>IF(ISNUMBER(SEARCH("Version Control",A6)),"❌","")</f>
        <v/>
      </c>
      <c r="C141" s="18" t="s">
        <v>245</v>
      </c>
      <c r="D141" s="14"/>
    </row>
    <row r="142" spans="1:4" x14ac:dyDescent="0.25">
      <c r="A142" s="16" t="s">
        <v>246</v>
      </c>
      <c r="B142" s="17" t="str">
        <f>IF(ISNUMBER(SEARCH("Repository",A6)),"❌","")</f>
        <v/>
      </c>
      <c r="C142" s="18" t="s">
        <v>247</v>
      </c>
      <c r="D142" s="14"/>
    </row>
    <row r="143" spans="1:4" x14ac:dyDescent="0.25">
      <c r="A143" s="16" t="s">
        <v>248</v>
      </c>
      <c r="B143" s="17" t="str">
        <f>IF(ISNUMBER(SEARCH("Commit",A6)),"❌","")</f>
        <v/>
      </c>
      <c r="C143" s="18" t="s">
        <v>249</v>
      </c>
      <c r="D143" s="14"/>
    </row>
    <row r="144" spans="1:4" x14ac:dyDescent="0.25">
      <c r="A144" s="16" t="s">
        <v>250</v>
      </c>
      <c r="B144" s="17" t="str">
        <f>IF(ISNUMBER(SEARCH("Merge",A6)),"❌","")</f>
        <v/>
      </c>
      <c r="C144" s="18" t="s">
        <v>251</v>
      </c>
      <c r="D144" s="14"/>
    </row>
    <row r="145" spans="1:4" x14ac:dyDescent="0.25">
      <c r="A145" s="16" t="s">
        <v>252</v>
      </c>
      <c r="B145" s="17" t="str">
        <f>IF(ISNUMBER(SEARCH("Branch",A6)),"❌","")</f>
        <v/>
      </c>
      <c r="C145" s="18" t="s">
        <v>253</v>
      </c>
      <c r="D145" s="14"/>
    </row>
    <row r="146" spans="1:4" x14ac:dyDescent="0.25">
      <c r="A146" s="16" t="s">
        <v>254</v>
      </c>
      <c r="B146" s="17" t="str">
        <f>IF(ISNUMBER(SEARCH("Digital Transformation",A6)),"❌","")</f>
        <v/>
      </c>
      <c r="C146" s="18" t="s">
        <v>255</v>
      </c>
      <c r="D146" s="14"/>
    </row>
    <row r="147" spans="1:4" x14ac:dyDescent="0.25">
      <c r="A147" s="16" t="s">
        <v>256</v>
      </c>
      <c r="B147" s="17" t="str">
        <f>IF(ISNUMBER(SEARCH("Innovation",A6)),"❌","")</f>
        <v/>
      </c>
      <c r="C147" s="18" t="s">
        <v>257</v>
      </c>
      <c r="D147" s="14"/>
    </row>
    <row r="148" spans="1:4" x14ac:dyDescent="0.25">
      <c r="A148" s="16" t="s">
        <v>258</v>
      </c>
      <c r="B148" s="17" t="str">
        <f>IF(ISNUMBER(SEARCH("State-of-the-Art",A6)),"❌","")</f>
        <v/>
      </c>
      <c r="C148" s="18" t="s">
        <v>259</v>
      </c>
      <c r="D148" s="14"/>
    </row>
    <row r="149" spans="1:4" x14ac:dyDescent="0.25">
      <c r="A149" s="16" t="s">
        <v>260</v>
      </c>
      <c r="B149" s="17" t="str">
        <f>IF(ISNUMBER(SEARCH("Best Practice",A6)),"❌","")</f>
        <v/>
      </c>
      <c r="C149" s="18" t="s">
        <v>261</v>
      </c>
      <c r="D149" s="14"/>
    </row>
    <row r="150" spans="1:4" x14ac:dyDescent="0.25">
      <c r="A150" s="16" t="s">
        <v>262</v>
      </c>
      <c r="B150" s="17" t="str">
        <f>IF(ISNUMBER(SEARCH("Cutting-edge",A6)),"❌","")</f>
        <v/>
      </c>
      <c r="C150" s="18" t="s">
        <v>263</v>
      </c>
      <c r="D150" s="14"/>
    </row>
    <row r="151" spans="1:4" x14ac:dyDescent="0.25">
      <c r="A151" s="16" t="s">
        <v>264</v>
      </c>
      <c r="B151" s="17" t="str">
        <f>IF(ISNUMBER(SEARCH("Enterprise",A6)),"❌","")</f>
        <v/>
      </c>
      <c r="C151" s="18" t="s">
        <v>265</v>
      </c>
      <c r="D151" s="14"/>
    </row>
    <row r="152" spans="1:4" x14ac:dyDescent="0.25">
      <c r="A152" s="16" t="s">
        <v>266</v>
      </c>
      <c r="B152" s="17" t="str">
        <f>IF(ISNUMBER(SEARCH("End-to-End",A6)),"❌","")</f>
        <v/>
      </c>
      <c r="C152" s="18" t="s">
        <v>267</v>
      </c>
      <c r="D152" s="14"/>
    </row>
    <row r="153" spans="1:4" x14ac:dyDescent="0.25">
      <c r="A153" s="16" t="s">
        <v>268</v>
      </c>
      <c r="B153" s="17" t="str">
        <f>IF(ISNUMBER(SEARCH("Seamless",A6)),"❌","")</f>
        <v/>
      </c>
      <c r="C153" s="18" t="s">
        <v>269</v>
      </c>
      <c r="D153" s="14"/>
    </row>
    <row r="154" spans="1:4" x14ac:dyDescent="0.25">
      <c r="A154" s="16" t="s">
        <v>270</v>
      </c>
      <c r="B154" s="17" t="str">
        <f>IF(ISNUMBER(SEARCH("Turnkey",A6)),"❌","")</f>
        <v/>
      </c>
      <c r="C154" s="18" t="s">
        <v>271</v>
      </c>
      <c r="D154" s="14"/>
    </row>
    <row r="155" spans="1:4" x14ac:dyDescent="0.25">
      <c r="A155" s="16" t="s">
        <v>272</v>
      </c>
      <c r="B155" s="17" t="str">
        <f>IF(ISNUMBER(SEARCH("Out-of-the-box",A6)),"❌","")</f>
        <v/>
      </c>
      <c r="C155" s="18" t="s">
        <v>273</v>
      </c>
      <c r="D155" s="14"/>
    </row>
    <row r="156" spans="1:4" x14ac:dyDescent="0.25">
      <c r="A156" s="16" t="s">
        <v>274</v>
      </c>
      <c r="B156" s="17" t="str">
        <f>IF(ISNUMBER(SEARCH("Legacy",A6)),"❌","")</f>
        <v/>
      </c>
      <c r="C156" s="18" t="s">
        <v>275</v>
      </c>
      <c r="D156" s="14"/>
    </row>
    <row r="157" spans="1:4" x14ac:dyDescent="0.25">
      <c r="A157" s="16" t="s">
        <v>276</v>
      </c>
      <c r="B157" s="17" t="str">
        <f>IF(ISNUMBER(SEARCH("Greenfield",A6)),"❌","")</f>
        <v/>
      </c>
      <c r="C157" s="18" t="s">
        <v>277</v>
      </c>
      <c r="D157" s="14"/>
    </row>
    <row r="158" spans="1:4" x14ac:dyDescent="0.25">
      <c r="A158" s="16" t="s">
        <v>278</v>
      </c>
      <c r="B158" s="17" t="str">
        <f>IF(ISNUMBER(SEARCH("Brownfield",A6)),"❌","")</f>
        <v/>
      </c>
      <c r="C158" s="18" t="s">
        <v>279</v>
      </c>
      <c r="D158" s="14"/>
    </row>
    <row r="159" spans="1:4" x14ac:dyDescent="0.25">
      <c r="A159" s="16" t="s">
        <v>280</v>
      </c>
      <c r="B159" s="17" t="str">
        <f>IF(ISNUMBER(SEARCH("Proof of Concept",A6)),"❌","")</f>
        <v/>
      </c>
      <c r="C159" s="18" t="s">
        <v>281</v>
      </c>
      <c r="D159" s="14"/>
    </row>
    <row r="160" spans="1:4" x14ac:dyDescent="0.25">
      <c r="A160" s="16" t="s">
        <v>282</v>
      </c>
      <c r="B160" s="17" t="str">
        <f>IF(ISNUMBER(SEARCH("POC",A6)),"❌","")</f>
        <v/>
      </c>
      <c r="C160" s="18" t="s">
        <v>283</v>
      </c>
      <c r="D160" s="14"/>
    </row>
    <row r="161" spans="1:4" x14ac:dyDescent="0.25">
      <c r="A161" s="16" t="s">
        <v>284</v>
      </c>
      <c r="B161" s="17" t="str">
        <f>IF(ISNUMBER(SEARCH("MVP",A6)),"❌","")</f>
        <v/>
      </c>
      <c r="C161" s="18" t="s">
        <v>285</v>
      </c>
      <c r="D161" s="14"/>
    </row>
    <row r="162" spans="1:4" x14ac:dyDescent="0.25">
      <c r="A162" s="16" t="s">
        <v>286</v>
      </c>
      <c r="B162" s="17" t="str">
        <f>IF(ISNUMBER(SEARCH("Beta",A6)),"❌","")</f>
        <v/>
      </c>
      <c r="C162" s="18" t="s">
        <v>287</v>
      </c>
      <c r="D162" s="14"/>
    </row>
    <row r="163" spans="1:4" x14ac:dyDescent="0.25">
      <c r="A163" s="16" t="s">
        <v>288</v>
      </c>
      <c r="B163" s="17" t="str">
        <f>IF(ISNUMBER(SEARCH("Alpha",A6)),"❌","")</f>
        <v/>
      </c>
      <c r="C163" s="18" t="s">
        <v>289</v>
      </c>
      <c r="D163" s="14"/>
    </row>
    <row r="164" spans="1:4" x14ac:dyDescent="0.25">
      <c r="A164" s="16" t="s">
        <v>290</v>
      </c>
      <c r="B164" s="17" t="str">
        <f>IF(ISNUMBER(SEARCH("Machine Learning",A6)),"❌","")</f>
        <v/>
      </c>
      <c r="C164" s="18" t="s">
        <v>291</v>
      </c>
      <c r="D164" s="14"/>
    </row>
    <row r="165" spans="1:4" x14ac:dyDescent="0.25">
      <c r="A165" s="16" t="s">
        <v>292</v>
      </c>
      <c r="B165" s="17" t="str">
        <f>IF(ISNUMBER(SEARCH("AI/KI",A6)),"❌","")</f>
        <v/>
      </c>
      <c r="C165" s="18" t="s">
        <v>293</v>
      </c>
      <c r="D165" s="14"/>
    </row>
    <row r="166" spans="1:4" x14ac:dyDescent="0.25">
      <c r="A166" s="16" t="s">
        <v>294</v>
      </c>
      <c r="B166" s="17" t="str">
        <f>IF(ISNUMBER(SEARCH("Deep Learning",A6)),"❌","")</f>
        <v/>
      </c>
      <c r="C166" s="18" t="s">
        <v>295</v>
      </c>
      <c r="D166" s="14"/>
    </row>
    <row r="167" spans="1:4" x14ac:dyDescent="0.25">
      <c r="A167" s="16" t="s">
        <v>296</v>
      </c>
      <c r="B167" s="17" t="str">
        <f>IF(ISNUMBER(SEARCH("Neural Network",A6)),"❌","")</f>
        <v/>
      </c>
      <c r="C167" s="18" t="s">
        <v>297</v>
      </c>
      <c r="D167" s="14"/>
    </row>
    <row r="168" spans="1:4" x14ac:dyDescent="0.25">
      <c r="A168" s="16" t="s">
        <v>298</v>
      </c>
      <c r="B168" s="17" t="str">
        <f>IF(ISNUMBER(SEARCH("Algorithm",A6)),"❌","")</f>
        <v/>
      </c>
      <c r="C168" s="18" t="s">
        <v>299</v>
      </c>
      <c r="D168" s="14"/>
    </row>
    <row r="169" spans="1:4" x14ac:dyDescent="0.25">
      <c r="A169" s="16" t="s">
        <v>300</v>
      </c>
      <c r="B169" s="17" t="str">
        <f>IF(ISNUMBER(SEARCH("Blockchain",A6)),"❌","")</f>
        <v/>
      </c>
      <c r="C169" s="18" t="s">
        <v>301</v>
      </c>
      <c r="D169" s="14"/>
    </row>
    <row r="170" spans="1:4" x14ac:dyDescent="0.25">
      <c r="A170" s="16" t="s">
        <v>302</v>
      </c>
      <c r="B170" s="17" t="str">
        <f>IF(ISNUMBER(SEARCH("IoT",A6)),"❌","")</f>
        <v/>
      </c>
      <c r="C170" s="18" t="s">
        <v>303</v>
      </c>
      <c r="D170" s="14"/>
    </row>
    <row r="171" spans="1:4" x14ac:dyDescent="0.25">
      <c r="A171" s="16" t="s">
        <v>304</v>
      </c>
      <c r="B171" s="17" t="str">
        <f>IF(ISNUMBER(SEARCH("Edge Computing",A6)),"❌","")</f>
        <v/>
      </c>
      <c r="C171" s="18" t="s">
        <v>305</v>
      </c>
      <c r="D171" s="14"/>
    </row>
    <row r="172" spans="1:4" x14ac:dyDescent="0.25">
      <c r="A172" s="16" t="s">
        <v>306</v>
      </c>
      <c r="B172" s="17" t="str">
        <f>IF(ISNUMBER(SEARCH("Microservices",A6)),"❌","")</f>
        <v/>
      </c>
      <c r="C172" s="18" t="s">
        <v>307</v>
      </c>
      <c r="D172" s="14"/>
    </row>
    <row r="173" spans="1:4" x14ac:dyDescent="0.25">
      <c r="A173" s="16" t="s">
        <v>308</v>
      </c>
      <c r="B173" s="17" t="str">
        <f>IF(ISNUMBER(SEARCH("Serverless",A6)),"❌","")</f>
        <v/>
      </c>
      <c r="C173" s="18" t="s">
        <v>309</v>
      </c>
      <c r="D173" s="14"/>
    </row>
    <row r="174" spans="1:4" x14ac:dyDescent="0.25">
      <c r="A174" s="16" t="s">
        <v>310</v>
      </c>
      <c r="B174" s="17" t="str">
        <f>IF(ISNUMBER(SEARCH("Container",A6)),"❌","")</f>
        <v/>
      </c>
      <c r="C174" s="18" t="s">
        <v>311</v>
      </c>
      <c r="D174" s="14"/>
    </row>
    <row r="175" spans="1:4" x14ac:dyDescent="0.25">
      <c r="A175" s="16" t="s">
        <v>312</v>
      </c>
      <c r="B175" s="17" t="str">
        <f>IF(ISNUMBER(SEARCH("Kubernetes",A6)),"❌","")</f>
        <v/>
      </c>
      <c r="C175" s="18" t="s">
        <v>313</v>
      </c>
      <c r="D175" s="14"/>
    </row>
    <row r="176" spans="1:4" x14ac:dyDescent="0.25">
      <c r="A176" s="16" t="s">
        <v>314</v>
      </c>
      <c r="B176" s="17" t="str">
        <f>IF(ISNUMBER(SEARCH("Docker",A6)),"❌","")</f>
        <v/>
      </c>
      <c r="C176" s="18" t="s">
        <v>315</v>
      </c>
      <c r="D176" s="14"/>
    </row>
    <row r="177" spans="1:4" x14ac:dyDescent="0.25">
      <c r="A177" s="16" t="s">
        <v>316</v>
      </c>
      <c r="B177" s="17" t="str">
        <f>IF(ISNUMBER(SEARCH("Virtual Machine",A6)),"❌","")</f>
        <v/>
      </c>
      <c r="C177" s="18" t="s">
        <v>317</v>
      </c>
      <c r="D177" s="14"/>
    </row>
    <row r="178" spans="1:4" x14ac:dyDescent="0.25">
      <c r="A178" s="16" t="s">
        <v>318</v>
      </c>
      <c r="B178" s="17" t="str">
        <f>IF(ISNUMBER(SEARCH("Hypervisor",A6)),"❌","")</f>
        <v/>
      </c>
      <c r="C178" s="18" t="s">
        <v>319</v>
      </c>
      <c r="D178" s="14"/>
    </row>
    <row r="179" spans="1:4" x14ac:dyDescent="0.25">
      <c r="A179" s="16" t="s">
        <v>320</v>
      </c>
      <c r="B179" s="17" t="str">
        <f>IF(ISNUMBER(SEARCH("User Interface",A6)),"❌","")</f>
        <v/>
      </c>
      <c r="C179" s="18" t="s">
        <v>321</v>
      </c>
      <c r="D179" s="14"/>
    </row>
    <row r="180" spans="1:4" x14ac:dyDescent="0.25">
      <c r="A180" s="16" t="s">
        <v>322</v>
      </c>
      <c r="B180" s="17" t="str">
        <f>IF(ISNUMBER(SEARCH("UI",A6)),"❌","")</f>
        <v/>
      </c>
      <c r="C180" s="18" t="s">
        <v>321</v>
      </c>
      <c r="D180" s="14"/>
    </row>
    <row r="181" spans="1:4" x14ac:dyDescent="0.25">
      <c r="A181" s="16" t="s">
        <v>323</v>
      </c>
      <c r="B181" s="17" t="str">
        <f>IF(ISNUMBER(SEARCH("User Experience",A6)),"❌","")</f>
        <v/>
      </c>
      <c r="C181" s="18" t="s">
        <v>324</v>
      </c>
      <c r="D181" s="14"/>
    </row>
    <row r="182" spans="1:4" x14ac:dyDescent="0.25">
      <c r="A182" s="16" t="s">
        <v>325</v>
      </c>
      <c r="B182" s="17" t="str">
        <f>IF(ISNUMBER(SEARCH("UX",A6)),"❌","")</f>
        <v/>
      </c>
      <c r="C182" s="18" t="s">
        <v>326</v>
      </c>
      <c r="D182" s="14"/>
    </row>
    <row r="183" spans="1:4" x14ac:dyDescent="0.25">
      <c r="A183" s="16" t="s">
        <v>327</v>
      </c>
      <c r="B183" s="17" t="str">
        <f>IF(ISNUMBER(SEARCH("Responsive",A6)),"❌","")</f>
        <v/>
      </c>
      <c r="C183" s="18" t="s">
        <v>328</v>
      </c>
      <c r="D183" s="14"/>
    </row>
    <row r="184" spans="1:4" x14ac:dyDescent="0.25">
      <c r="A184" s="16" t="s">
        <v>329</v>
      </c>
      <c r="B184" s="17" t="str">
        <f>IF(ISNUMBER(SEARCH("Mobile-first",A6)),"❌","")</f>
        <v/>
      </c>
      <c r="C184" s="18" t="s">
        <v>330</v>
      </c>
      <c r="D184" s="14"/>
    </row>
    <row r="185" spans="1:4" x14ac:dyDescent="0.25">
      <c r="A185" s="16" t="s">
        <v>331</v>
      </c>
      <c r="B185" s="17" t="str">
        <f>IF(ISNUMBER(SEARCH("Usability",A6)),"❌","")</f>
        <v/>
      </c>
      <c r="C185" s="18" t="s">
        <v>332</v>
      </c>
      <c r="D185" s="14"/>
    </row>
    <row r="186" spans="1:4" x14ac:dyDescent="0.25">
      <c r="A186" s="16" t="s">
        <v>333</v>
      </c>
      <c r="B186" s="17" t="str">
        <f>IF(ISNUMBER(SEARCH("Accessibility",A6)),"❌","")</f>
        <v/>
      </c>
      <c r="C186" s="18" t="s">
        <v>334</v>
      </c>
      <c r="D186" s="14"/>
    </row>
    <row r="187" spans="1:4" x14ac:dyDescent="0.25">
      <c r="A187" s="14"/>
      <c r="B187" s="14"/>
      <c r="C187" s="14"/>
      <c r="D187" s="14"/>
    </row>
    <row r="190" spans="1:4" ht="15" customHeight="1" x14ac:dyDescent="0.25">
      <c r="A190" s="45" t="s">
        <v>417</v>
      </c>
      <c r="B190" s="45"/>
      <c r="C190" s="45"/>
      <c r="D190" s="45"/>
    </row>
    <row r="191" spans="1:4" ht="15" customHeight="1" x14ac:dyDescent="0.25">
      <c r="A191" s="45"/>
      <c r="B191" s="45"/>
      <c r="C191" s="45"/>
      <c r="D191" s="45"/>
    </row>
    <row r="192" spans="1:4" x14ac:dyDescent="0.25">
      <c r="A192" s="3"/>
    </row>
  </sheetData>
  <sheetProtection sheet="1" objects="1" scenarios="1"/>
  <mergeCells count="6">
    <mergeCell ref="C29:D29"/>
    <mergeCell ref="A2:D4"/>
    <mergeCell ref="A190:D191"/>
    <mergeCell ref="A23:D23"/>
    <mergeCell ref="A1:D1"/>
    <mergeCell ref="A6:D2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2EC8-5693-43DF-A22F-7D9BF21C6955}">
  <dimension ref="A1:B86"/>
  <sheetViews>
    <sheetView zoomScale="115" zoomScaleNormal="115" workbookViewId="0">
      <selection activeCell="A2" sqref="A2:B3"/>
    </sheetView>
  </sheetViews>
  <sheetFormatPr baseColWidth="10" defaultColWidth="8.7109375" defaultRowHeight="15" x14ac:dyDescent="0.25"/>
  <cols>
    <col min="1" max="1" width="45.42578125" customWidth="1"/>
    <col min="2" max="2" width="41.85546875" customWidth="1"/>
  </cols>
  <sheetData>
    <row r="1" spans="1:2" ht="38.25" customHeight="1" x14ac:dyDescent="0.25">
      <c r="A1" s="47" t="s">
        <v>405</v>
      </c>
      <c r="B1" s="47"/>
    </row>
    <row r="2" spans="1:2" x14ac:dyDescent="0.25">
      <c r="A2" s="55" t="s">
        <v>404</v>
      </c>
      <c r="B2" s="55"/>
    </row>
    <row r="3" spans="1:2" ht="18" customHeight="1" x14ac:dyDescent="0.25">
      <c r="A3" s="55"/>
      <c r="B3" s="55"/>
    </row>
    <row r="4" spans="1:2" ht="15" customHeight="1" x14ac:dyDescent="0.25"/>
    <row r="5" spans="1:2" ht="23.25" customHeight="1" x14ac:dyDescent="0.25">
      <c r="A5" s="54" t="s">
        <v>406</v>
      </c>
      <c r="B5" s="54"/>
    </row>
    <row r="6" spans="1:2" ht="15" customHeight="1" x14ac:dyDescent="0.25">
      <c r="A6" s="7" t="s">
        <v>336</v>
      </c>
      <c r="B6" s="5" t="s">
        <v>337</v>
      </c>
    </row>
    <row r="7" spans="1:2" ht="35.1" customHeight="1" x14ac:dyDescent="0.25">
      <c r="A7" s="6" t="s">
        <v>403</v>
      </c>
      <c r="B7" s="4" t="s">
        <v>402</v>
      </c>
    </row>
    <row r="8" spans="1:2" ht="15" customHeight="1" x14ac:dyDescent="0.25"/>
    <row r="9" spans="1:2" ht="15" customHeight="1" x14ac:dyDescent="0.25">
      <c r="A9" s="7" t="s">
        <v>336</v>
      </c>
      <c r="B9" s="5" t="s">
        <v>337</v>
      </c>
    </row>
    <row r="10" spans="1:2" ht="35.1" customHeight="1" x14ac:dyDescent="0.25">
      <c r="A10" s="6" t="s">
        <v>401</v>
      </c>
      <c r="B10" s="4" t="s">
        <v>400</v>
      </c>
    </row>
    <row r="11" spans="1:2" ht="22.5" customHeight="1" x14ac:dyDescent="0.25"/>
    <row r="12" spans="1:2" ht="15" customHeight="1" x14ac:dyDescent="0.25">
      <c r="A12" s="7" t="s">
        <v>336</v>
      </c>
      <c r="B12" s="5" t="s">
        <v>337</v>
      </c>
    </row>
    <row r="13" spans="1:2" ht="35.1" customHeight="1" x14ac:dyDescent="0.25">
      <c r="A13" s="6" t="s">
        <v>399</v>
      </c>
      <c r="B13" s="4" t="s">
        <v>398</v>
      </c>
    </row>
    <row r="14" spans="1:2" ht="15" customHeight="1" x14ac:dyDescent="0.25"/>
    <row r="15" spans="1:2" ht="20.100000000000001" customHeight="1" x14ac:dyDescent="0.25">
      <c r="A15" s="54" t="s">
        <v>413</v>
      </c>
      <c r="B15" s="54"/>
    </row>
    <row r="16" spans="1:2" ht="15" customHeight="1" x14ac:dyDescent="0.25">
      <c r="A16" s="7" t="s">
        <v>336</v>
      </c>
      <c r="B16" s="5" t="s">
        <v>337</v>
      </c>
    </row>
    <row r="17" spans="1:2" ht="35.1" customHeight="1" x14ac:dyDescent="0.25">
      <c r="A17" s="6" t="s">
        <v>397</v>
      </c>
      <c r="B17" s="4" t="s">
        <v>396</v>
      </c>
    </row>
    <row r="18" spans="1:2" ht="15" customHeight="1" x14ac:dyDescent="0.25"/>
    <row r="19" spans="1:2" ht="21" customHeight="1" x14ac:dyDescent="0.25">
      <c r="A19" s="7" t="s">
        <v>336</v>
      </c>
      <c r="B19" s="5" t="s">
        <v>337</v>
      </c>
    </row>
    <row r="20" spans="1:2" ht="35.1" customHeight="1" x14ac:dyDescent="0.25">
      <c r="A20" s="6" t="s">
        <v>395</v>
      </c>
      <c r="B20" s="4" t="s">
        <v>394</v>
      </c>
    </row>
    <row r="21" spans="1:2" ht="15" customHeight="1" x14ac:dyDescent="0.25"/>
    <row r="22" spans="1:2" ht="15" customHeight="1" x14ac:dyDescent="0.25">
      <c r="A22" s="7" t="s">
        <v>336</v>
      </c>
      <c r="B22" s="5" t="s">
        <v>337</v>
      </c>
    </row>
    <row r="23" spans="1:2" ht="35.1" customHeight="1" x14ac:dyDescent="0.25">
      <c r="A23" s="6" t="s">
        <v>393</v>
      </c>
      <c r="B23" s="4" t="s">
        <v>392</v>
      </c>
    </row>
    <row r="24" spans="1:2" ht="15" customHeight="1" x14ac:dyDescent="0.25"/>
    <row r="25" spans="1:2" ht="20.100000000000001" customHeight="1" x14ac:dyDescent="0.25">
      <c r="A25" s="54" t="s">
        <v>412</v>
      </c>
      <c r="B25" s="54"/>
    </row>
    <row r="26" spans="1:2" ht="15" customHeight="1" x14ac:dyDescent="0.25">
      <c r="A26" s="7" t="s">
        <v>336</v>
      </c>
      <c r="B26" s="5" t="s">
        <v>337</v>
      </c>
    </row>
    <row r="27" spans="1:2" ht="35.1" customHeight="1" x14ac:dyDescent="0.25">
      <c r="A27" s="6" t="s">
        <v>391</v>
      </c>
      <c r="B27" s="4" t="s">
        <v>390</v>
      </c>
    </row>
    <row r="28" spans="1:2" ht="15" customHeight="1" x14ac:dyDescent="0.25"/>
    <row r="29" spans="1:2" ht="30" customHeight="1" x14ac:dyDescent="0.25">
      <c r="A29" s="7" t="s">
        <v>336</v>
      </c>
      <c r="B29" s="5" t="s">
        <v>337</v>
      </c>
    </row>
    <row r="30" spans="1:2" ht="35.1" customHeight="1" x14ac:dyDescent="0.25">
      <c r="A30" s="6" t="s">
        <v>389</v>
      </c>
      <c r="B30" s="4" t="s">
        <v>388</v>
      </c>
    </row>
    <row r="31" spans="1:2" ht="15" customHeight="1" x14ac:dyDescent="0.25"/>
    <row r="32" spans="1:2" ht="15" customHeight="1" x14ac:dyDescent="0.25">
      <c r="A32" s="7" t="s">
        <v>336</v>
      </c>
      <c r="B32" s="5" t="s">
        <v>337</v>
      </c>
    </row>
    <row r="33" spans="1:2" ht="35.1" customHeight="1" x14ac:dyDescent="0.25">
      <c r="A33" s="6" t="s">
        <v>387</v>
      </c>
      <c r="B33" s="4" t="s">
        <v>386</v>
      </c>
    </row>
    <row r="34" spans="1:2" ht="15" customHeight="1" x14ac:dyDescent="0.25"/>
    <row r="35" spans="1:2" ht="20.100000000000001" customHeight="1" x14ac:dyDescent="0.25">
      <c r="A35" s="54" t="s">
        <v>411</v>
      </c>
      <c r="B35" s="54"/>
    </row>
    <row r="36" spans="1:2" ht="15" customHeight="1" x14ac:dyDescent="0.25">
      <c r="A36" s="7" t="s">
        <v>336</v>
      </c>
      <c r="B36" s="5" t="s">
        <v>337</v>
      </c>
    </row>
    <row r="37" spans="1:2" ht="35.1" customHeight="1" x14ac:dyDescent="0.25">
      <c r="A37" s="6" t="s">
        <v>385</v>
      </c>
      <c r="B37" s="4" t="s">
        <v>384</v>
      </c>
    </row>
    <row r="38" spans="1:2" ht="15" customHeight="1" x14ac:dyDescent="0.25"/>
    <row r="39" spans="1:2" ht="15" customHeight="1" x14ac:dyDescent="0.25">
      <c r="A39" s="7" t="s">
        <v>336</v>
      </c>
      <c r="B39" s="5" t="s">
        <v>337</v>
      </c>
    </row>
    <row r="40" spans="1:2" ht="35.1" customHeight="1" x14ac:dyDescent="0.25">
      <c r="A40" s="6" t="s">
        <v>383</v>
      </c>
      <c r="B40" s="4" t="s">
        <v>382</v>
      </c>
    </row>
    <row r="41" spans="1:2" ht="16.5" customHeight="1" x14ac:dyDescent="0.25"/>
    <row r="42" spans="1:2" ht="15" customHeight="1" x14ac:dyDescent="0.25">
      <c r="A42" s="7" t="s">
        <v>336</v>
      </c>
      <c r="B42" s="5" t="s">
        <v>337</v>
      </c>
    </row>
    <row r="43" spans="1:2" ht="35.1" customHeight="1" x14ac:dyDescent="0.25">
      <c r="A43" s="6" t="s">
        <v>381</v>
      </c>
      <c r="B43" s="4" t="s">
        <v>380</v>
      </c>
    </row>
    <row r="44" spans="1:2" ht="15" customHeight="1" x14ac:dyDescent="0.25"/>
    <row r="45" spans="1:2" ht="20.100000000000001" customHeight="1" x14ac:dyDescent="0.25">
      <c r="A45" s="54" t="s">
        <v>410</v>
      </c>
      <c r="B45" s="54"/>
    </row>
    <row r="46" spans="1:2" ht="15" customHeight="1" x14ac:dyDescent="0.25">
      <c r="A46" s="7" t="s">
        <v>336</v>
      </c>
      <c r="B46" s="5" t="s">
        <v>337</v>
      </c>
    </row>
    <row r="47" spans="1:2" ht="35.1" customHeight="1" x14ac:dyDescent="0.25">
      <c r="A47" s="6" t="s">
        <v>379</v>
      </c>
      <c r="B47" s="4" t="s">
        <v>378</v>
      </c>
    </row>
    <row r="48" spans="1:2" ht="15" customHeight="1" x14ac:dyDescent="0.25"/>
    <row r="49" spans="1:2" ht="20.25" customHeight="1" x14ac:dyDescent="0.25">
      <c r="A49" s="7" t="s">
        <v>336</v>
      </c>
      <c r="B49" s="5" t="s">
        <v>337</v>
      </c>
    </row>
    <row r="50" spans="1:2" ht="35.1" customHeight="1" x14ac:dyDescent="0.25">
      <c r="A50" s="6" t="s">
        <v>377</v>
      </c>
      <c r="B50" s="4" t="s">
        <v>376</v>
      </c>
    </row>
    <row r="51" spans="1:2" ht="15" customHeight="1" x14ac:dyDescent="0.25"/>
    <row r="52" spans="1:2" ht="15" customHeight="1" x14ac:dyDescent="0.25">
      <c r="A52" s="7" t="s">
        <v>336</v>
      </c>
      <c r="B52" s="5" t="s">
        <v>337</v>
      </c>
    </row>
    <row r="53" spans="1:2" ht="35.1" customHeight="1" x14ac:dyDescent="0.25">
      <c r="A53" s="6" t="s">
        <v>375</v>
      </c>
      <c r="B53" s="4" t="s">
        <v>374</v>
      </c>
    </row>
    <row r="54" spans="1:2" ht="15" customHeight="1" x14ac:dyDescent="0.25"/>
    <row r="55" spans="1:2" ht="20.100000000000001" customHeight="1" x14ac:dyDescent="0.25">
      <c r="A55" s="54" t="s">
        <v>409</v>
      </c>
      <c r="B55" s="54"/>
    </row>
    <row r="56" spans="1:2" ht="15" customHeight="1" x14ac:dyDescent="0.25">
      <c r="A56" s="7" t="s">
        <v>336</v>
      </c>
      <c r="B56" s="5" t="s">
        <v>337</v>
      </c>
    </row>
    <row r="57" spans="1:2" ht="35.1" customHeight="1" x14ac:dyDescent="0.25">
      <c r="A57" s="6" t="s">
        <v>373</v>
      </c>
      <c r="B57" s="4" t="s">
        <v>372</v>
      </c>
    </row>
    <row r="58" spans="1:2" ht="15" customHeight="1" x14ac:dyDescent="0.25"/>
    <row r="59" spans="1:2" ht="19.5" customHeight="1" x14ac:dyDescent="0.25">
      <c r="A59" s="7" t="s">
        <v>336</v>
      </c>
      <c r="B59" s="5" t="s">
        <v>337</v>
      </c>
    </row>
    <row r="60" spans="1:2" ht="35.1" customHeight="1" x14ac:dyDescent="0.25">
      <c r="A60" s="6" t="s">
        <v>371</v>
      </c>
      <c r="B60" s="4" t="s">
        <v>370</v>
      </c>
    </row>
    <row r="61" spans="1:2" ht="15" customHeight="1" x14ac:dyDescent="0.25"/>
    <row r="62" spans="1:2" ht="15" customHeight="1" x14ac:dyDescent="0.25">
      <c r="A62" s="7" t="s">
        <v>336</v>
      </c>
      <c r="B62" s="5" t="s">
        <v>337</v>
      </c>
    </row>
    <row r="63" spans="1:2" ht="35.1" customHeight="1" x14ac:dyDescent="0.25">
      <c r="A63" s="6" t="s">
        <v>369</v>
      </c>
      <c r="B63" s="4" t="s">
        <v>368</v>
      </c>
    </row>
    <row r="64" spans="1:2" ht="15" customHeight="1" x14ac:dyDescent="0.25"/>
    <row r="65" spans="1:2" ht="20.100000000000001" customHeight="1" x14ac:dyDescent="0.25">
      <c r="A65" s="54" t="s">
        <v>408</v>
      </c>
      <c r="B65" s="54"/>
    </row>
    <row r="66" spans="1:2" ht="15" customHeight="1" x14ac:dyDescent="0.25">
      <c r="A66" s="7" t="s">
        <v>336</v>
      </c>
      <c r="B66" s="5" t="s">
        <v>337</v>
      </c>
    </row>
    <row r="67" spans="1:2" ht="35.1" customHeight="1" x14ac:dyDescent="0.25">
      <c r="A67" s="6" t="s">
        <v>367</v>
      </c>
      <c r="B67" s="4" t="s">
        <v>366</v>
      </c>
    </row>
    <row r="68" spans="1:2" ht="15" customHeight="1" x14ac:dyDescent="0.25"/>
    <row r="69" spans="1:2" ht="15" customHeight="1" x14ac:dyDescent="0.25">
      <c r="A69" s="7" t="s">
        <v>336</v>
      </c>
      <c r="B69" s="5" t="s">
        <v>337</v>
      </c>
    </row>
    <row r="70" spans="1:2" ht="35.1" customHeight="1" x14ac:dyDescent="0.25">
      <c r="A70" s="6" t="s">
        <v>365</v>
      </c>
      <c r="B70" s="4" t="s">
        <v>364</v>
      </c>
    </row>
    <row r="72" spans="1:2" x14ac:dyDescent="0.25">
      <c r="A72" s="7" t="s">
        <v>336</v>
      </c>
      <c r="B72" s="5" t="s">
        <v>337</v>
      </c>
    </row>
    <row r="73" spans="1:2" ht="35.1" customHeight="1" x14ac:dyDescent="0.25">
      <c r="A73" s="6" t="s">
        <v>363</v>
      </c>
      <c r="B73" s="4" t="s">
        <v>362</v>
      </c>
    </row>
    <row r="75" spans="1:2" ht="20.100000000000001" customHeight="1" x14ac:dyDescent="0.25">
      <c r="A75" s="54" t="s">
        <v>407</v>
      </c>
      <c r="B75" s="54"/>
    </row>
    <row r="76" spans="1:2" x14ac:dyDescent="0.25">
      <c r="A76" s="7" t="s">
        <v>336</v>
      </c>
      <c r="B76" s="5" t="s">
        <v>337</v>
      </c>
    </row>
    <row r="77" spans="1:2" ht="35.1" customHeight="1" x14ac:dyDescent="0.25">
      <c r="A77" s="6" t="s">
        <v>361</v>
      </c>
      <c r="B77" s="4" t="s">
        <v>360</v>
      </c>
    </row>
    <row r="79" spans="1:2" x14ac:dyDescent="0.25">
      <c r="A79" s="7" t="s">
        <v>336</v>
      </c>
      <c r="B79" s="5" t="s">
        <v>337</v>
      </c>
    </row>
    <row r="80" spans="1:2" ht="35.1" customHeight="1" x14ac:dyDescent="0.25">
      <c r="A80" s="6" t="s">
        <v>359</v>
      </c>
      <c r="B80" s="4" t="s">
        <v>358</v>
      </c>
    </row>
    <row r="82" spans="1:2" x14ac:dyDescent="0.25">
      <c r="A82" s="7" t="s">
        <v>336</v>
      </c>
      <c r="B82" s="5" t="s">
        <v>337</v>
      </c>
    </row>
    <row r="83" spans="1:2" ht="35.1" customHeight="1" x14ac:dyDescent="0.25">
      <c r="A83" s="6" t="s">
        <v>357</v>
      </c>
      <c r="B83" s="4" t="s">
        <v>356</v>
      </c>
    </row>
    <row r="85" spans="1:2" ht="15" customHeight="1" x14ac:dyDescent="0.25">
      <c r="A85" s="45" t="s">
        <v>417</v>
      </c>
      <c r="B85" s="45"/>
    </row>
    <row r="86" spans="1:2" ht="15" customHeight="1" x14ac:dyDescent="0.25">
      <c r="A86" s="45"/>
      <c r="B86" s="45"/>
    </row>
  </sheetData>
  <sheetProtection sheet="1" objects="1" scenarios="1"/>
  <mergeCells count="11">
    <mergeCell ref="A2:B3"/>
    <mergeCell ref="A1:B1"/>
    <mergeCell ref="A5:B5"/>
    <mergeCell ref="A15:B15"/>
    <mergeCell ref="A85:B86"/>
    <mergeCell ref="A25:B25"/>
    <mergeCell ref="A35:B35"/>
    <mergeCell ref="A45:B45"/>
    <mergeCell ref="A55:B55"/>
    <mergeCell ref="A65:B65"/>
    <mergeCell ref="A75:B7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3"/>
  <sheetViews>
    <sheetView zoomScale="115" zoomScaleNormal="115" workbookViewId="0">
      <selection activeCell="A2" sqref="A2:B3"/>
    </sheetView>
  </sheetViews>
  <sheetFormatPr baseColWidth="10" defaultColWidth="8.7109375" defaultRowHeight="15" x14ac:dyDescent="0.25"/>
  <cols>
    <col min="1" max="1" width="60" customWidth="1"/>
    <col min="2" max="2" width="15" customWidth="1"/>
  </cols>
  <sheetData>
    <row r="1" spans="1:2" ht="33.75" customHeight="1" x14ac:dyDescent="0.25">
      <c r="A1" s="47" t="s">
        <v>338</v>
      </c>
      <c r="B1" s="47"/>
    </row>
    <row r="2" spans="1:2" ht="21.75" customHeight="1" x14ac:dyDescent="0.25">
      <c r="A2" s="51" t="s">
        <v>418</v>
      </c>
      <c r="B2" s="56"/>
    </row>
    <row r="3" spans="1:2" ht="21.75" customHeight="1" x14ac:dyDescent="0.25">
      <c r="A3" s="56"/>
      <c r="B3" s="56"/>
    </row>
    <row r="4" spans="1:2" ht="25.5" customHeight="1" x14ac:dyDescent="0.25">
      <c r="A4" s="37" t="s">
        <v>339</v>
      </c>
      <c r="B4" s="38" t="s">
        <v>340</v>
      </c>
    </row>
    <row r="5" spans="1:2" ht="24.75" customHeight="1" x14ac:dyDescent="0.25">
      <c r="A5" s="41" t="s">
        <v>341</v>
      </c>
      <c r="B5" s="44"/>
    </row>
    <row r="6" spans="1:2" ht="24.75" customHeight="1" x14ac:dyDescent="0.25">
      <c r="A6" s="41" t="s">
        <v>342</v>
      </c>
      <c r="B6" s="44"/>
    </row>
    <row r="7" spans="1:2" ht="24.75" customHeight="1" x14ac:dyDescent="0.25">
      <c r="A7" s="41" t="s">
        <v>343</v>
      </c>
      <c r="B7" s="44"/>
    </row>
    <row r="8" spans="1:2" ht="24.75" customHeight="1" x14ac:dyDescent="0.25">
      <c r="A8" s="41" t="s">
        <v>344</v>
      </c>
      <c r="B8" s="44"/>
    </row>
    <row r="9" spans="1:2" ht="24.75" customHeight="1" x14ac:dyDescent="0.25">
      <c r="A9" s="41" t="s">
        <v>345</v>
      </c>
      <c r="B9" s="44"/>
    </row>
    <row r="10" spans="1:2" ht="24.75" customHeight="1" x14ac:dyDescent="0.25">
      <c r="A10" s="41" t="s">
        <v>346</v>
      </c>
      <c r="B10" s="44"/>
    </row>
    <row r="11" spans="1:2" ht="24.75" customHeight="1" x14ac:dyDescent="0.25">
      <c r="A11" s="41" t="s">
        <v>347</v>
      </c>
      <c r="B11" s="44"/>
    </row>
    <row r="12" spans="1:2" ht="24.75" customHeight="1" x14ac:dyDescent="0.25">
      <c r="A12" s="41" t="s">
        <v>348</v>
      </c>
      <c r="B12" s="44"/>
    </row>
    <row r="13" spans="1:2" ht="24.75" customHeight="1" x14ac:dyDescent="0.25">
      <c r="A13" s="41" t="s">
        <v>349</v>
      </c>
      <c r="B13" s="44"/>
    </row>
    <row r="14" spans="1:2" ht="24.75" customHeight="1" x14ac:dyDescent="0.25">
      <c r="A14" s="41" t="s">
        <v>350</v>
      </c>
      <c r="B14" s="44"/>
    </row>
    <row r="15" spans="1:2" x14ac:dyDescent="0.25">
      <c r="A15" s="14"/>
      <c r="B15" s="14"/>
    </row>
    <row r="16" spans="1:2" ht="19.5" customHeight="1" x14ac:dyDescent="0.25">
      <c r="A16" s="57" t="s">
        <v>351</v>
      </c>
      <c r="B16" s="57"/>
    </row>
    <row r="17" spans="1:2" ht="15" customHeight="1" x14ac:dyDescent="0.25">
      <c r="A17" s="20" t="s">
        <v>352</v>
      </c>
      <c r="B17" s="21">
        <f>COUNTIF(B5:B14,"Ja")</f>
        <v>0</v>
      </c>
    </row>
    <row r="18" spans="1:2" ht="15" customHeight="1" x14ac:dyDescent="0.25">
      <c r="A18" s="20" t="s">
        <v>353</v>
      </c>
      <c r="B18" s="39" t="str">
        <f>B17&amp;"/10"</f>
        <v>0/10</v>
      </c>
    </row>
    <row r="19" spans="1:2" x14ac:dyDescent="0.25">
      <c r="A19" s="40" t="str">
        <f>IF(B17&gt;=8,"🟢 Sehr gut – Text ist kundenorientiert",IF(B17&gt;=5,"🟡 OK – noch Verbesserungspotenzial","🔴 Überarbeitung nötig – zu technisch"))</f>
        <v>🔴 Überarbeitung nötig – zu technisch</v>
      </c>
      <c r="B19" s="14"/>
    </row>
    <row r="20" spans="1:2" ht="15" customHeight="1" x14ac:dyDescent="0.25">
      <c r="A20" s="14"/>
      <c r="B20" s="14"/>
    </row>
    <row r="21" spans="1:2" x14ac:dyDescent="0.25">
      <c r="A21" s="14"/>
      <c r="B21" s="14"/>
    </row>
    <row r="22" spans="1:2" ht="15" customHeight="1" x14ac:dyDescent="0.25">
      <c r="A22" s="45" t="s">
        <v>417</v>
      </c>
      <c r="B22" s="45"/>
    </row>
    <row r="23" spans="1:2" ht="15" customHeight="1" x14ac:dyDescent="0.25">
      <c r="A23" s="45"/>
      <c r="B23" s="45"/>
    </row>
  </sheetData>
  <sheetProtection sheet="1" objects="1" scenarios="1"/>
  <mergeCells count="4">
    <mergeCell ref="A22:B23"/>
    <mergeCell ref="A1:B1"/>
    <mergeCell ref="A2:B3"/>
    <mergeCell ref="A16:B16"/>
  </mergeCells>
  <dataValidations count="1">
    <dataValidation type="list" allowBlank="1" sqref="B5:B14" xr:uid="{00000000-0002-0000-0300-000000000000}">
      <formula1>"Ja,Nein"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Translator</vt:lpstr>
      <vt:lpstr>Jargon-Checker</vt:lpstr>
      <vt:lpstr>Praxis Beispiele</vt:lpstr>
      <vt:lpstr>Quick-Check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Eva Wohlmann</cp:lastModifiedBy>
  <cp:revision>0</cp:revision>
  <dcterms:created xsi:type="dcterms:W3CDTF">2026-02-13T08:38:08Z</dcterms:created>
  <dcterms:modified xsi:type="dcterms:W3CDTF">2026-02-13T10:06:49Z</dcterms:modified>
  <dc:language>en-US</dc:language>
</cp:coreProperties>
</file>